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65" tabRatio="783" firstSheet="9" activeTab="10"/>
  </bookViews>
  <sheets>
    <sheet name="WRPF BP Raw DT" sheetId="1" r:id="rId1"/>
    <sheet name="WRPF BP Raw" sheetId="2" r:id="rId2"/>
    <sheet name="WEPF BP SP DT" sheetId="3" r:id="rId3"/>
    <sheet name="WEPF BP SP" sheetId="4" r:id="rId4"/>
    <sheet name="WEPF BP MP DT" sheetId="5" r:id="rId5"/>
    <sheet name="WEPF BP MP" sheetId="6" r:id="rId6"/>
    <sheet name="WEPF BP Soft (1loop) DT" sheetId="7" r:id="rId7"/>
    <sheet name="WEPF BP Soft (1loop)" sheetId="8" r:id="rId8"/>
    <sheet name="WEPF BP Soft (2-3loops) DT" sheetId="9" r:id="rId9"/>
    <sheet name="WEPF BP Soft (2-3loops)" sheetId="10" r:id="rId10"/>
    <sheet name="WRPF BP Handicap " sheetId="11" r:id="rId11"/>
    <sheet name="WRPF PRO BP Raw" sheetId="12" r:id="rId12"/>
  </sheets>
  <definedNames/>
  <calcPr fullCalcOnLoad="1"/>
</workbook>
</file>

<file path=xl/sharedStrings.xml><?xml version="1.0" encoding="utf-8"?>
<sst xmlns="http://schemas.openxmlformats.org/spreadsheetml/2006/main" count="4207" uniqueCount="1512">
  <si>
    <t>Place</t>
  </si>
  <si>
    <t>Name</t>
  </si>
  <si>
    <t>Age class
dob / age</t>
  </si>
  <si>
    <t>Own bw</t>
  </si>
  <si>
    <t>Wilks</t>
  </si>
  <si>
    <t>Country / city</t>
  </si>
  <si>
    <t>Bench press</t>
  </si>
  <si>
    <t>Points</t>
  </si>
  <si>
    <t>Coach</t>
  </si>
  <si>
    <t>Rec</t>
  </si>
  <si>
    <t>WEIGHT CLASS   44</t>
  </si>
  <si>
    <t>-</t>
  </si>
  <si>
    <t>42,50</t>
  </si>
  <si>
    <t xml:space="preserve">Russia / Kazan </t>
  </si>
  <si>
    <t>87,5</t>
  </si>
  <si>
    <t>1</t>
  </si>
  <si>
    <t>Open (24.03.1988)/32</t>
  </si>
  <si>
    <t xml:space="preserve">Russia / Partizansk </t>
  </si>
  <si>
    <t>82,5</t>
  </si>
  <si>
    <t>85,0</t>
  </si>
  <si>
    <t>52,5</t>
  </si>
  <si>
    <t>55,0</t>
  </si>
  <si>
    <t>92,5</t>
  </si>
  <si>
    <t>95,0</t>
  </si>
  <si>
    <t>97,5</t>
  </si>
  <si>
    <t xml:space="preserve">Shulyak I. </t>
  </si>
  <si>
    <t/>
  </si>
  <si>
    <t>WEIGHT CLASS   48</t>
  </si>
  <si>
    <t>77,5</t>
  </si>
  <si>
    <t>37,5</t>
  </si>
  <si>
    <t>40,0</t>
  </si>
  <si>
    <t>75,0</t>
  </si>
  <si>
    <t>115,0</t>
  </si>
  <si>
    <t>117,5</t>
  </si>
  <si>
    <t>60,0</t>
  </si>
  <si>
    <t>62,5</t>
  </si>
  <si>
    <t>145,0</t>
  </si>
  <si>
    <t>150,0</t>
  </si>
  <si>
    <t>155,0</t>
  </si>
  <si>
    <t>2</t>
  </si>
  <si>
    <t>46,30</t>
  </si>
  <si>
    <t xml:space="preserve">Russia / Kotlas </t>
  </si>
  <si>
    <t>80,0</t>
  </si>
  <si>
    <t>90,0</t>
  </si>
  <si>
    <t>45,0</t>
  </si>
  <si>
    <t>50,0</t>
  </si>
  <si>
    <t>122,5</t>
  </si>
  <si>
    <t>132,5</t>
  </si>
  <si>
    <t>142,5</t>
  </si>
  <si>
    <t>3</t>
  </si>
  <si>
    <t>105,0</t>
  </si>
  <si>
    <t>110,0</t>
  </si>
  <si>
    <t>112,5</t>
  </si>
  <si>
    <t xml:space="preserve">- </t>
  </si>
  <si>
    <t>WEIGHT CLASS   52</t>
  </si>
  <si>
    <t xml:space="preserve">Russia / Moscow </t>
  </si>
  <si>
    <t>47,5</t>
  </si>
  <si>
    <t>57,5</t>
  </si>
  <si>
    <t>137,5</t>
  </si>
  <si>
    <t xml:space="preserve">Russia / Smolensk </t>
  </si>
  <si>
    <t>100,0</t>
  </si>
  <si>
    <t>120,0</t>
  </si>
  <si>
    <t>125,0</t>
  </si>
  <si>
    <t>130,0</t>
  </si>
  <si>
    <t xml:space="preserve">Russia / Perm </t>
  </si>
  <si>
    <t>4</t>
  </si>
  <si>
    <t>5</t>
  </si>
  <si>
    <t>50,90</t>
  </si>
  <si>
    <t xml:space="preserve">Russia / Penza </t>
  </si>
  <si>
    <t>6</t>
  </si>
  <si>
    <t>Burova Zlata</t>
  </si>
  <si>
    <t>Open (13.12.1994)/26</t>
  </si>
  <si>
    <t>52,00</t>
  </si>
  <si>
    <t xml:space="preserve">Russia / Kulebaki </t>
  </si>
  <si>
    <t>70,0</t>
  </si>
  <si>
    <t xml:space="preserve">Burov V. </t>
  </si>
  <si>
    <t>WEIGHT CLASS   56</t>
  </si>
  <si>
    <t>Sled Anastasiya</t>
  </si>
  <si>
    <t>Open (05.08.1985)/35</t>
  </si>
  <si>
    <t>55,50</t>
  </si>
  <si>
    <t>140,0</t>
  </si>
  <si>
    <t>157,5</t>
  </si>
  <si>
    <t>55,70</t>
  </si>
  <si>
    <t>65,0</t>
  </si>
  <si>
    <t>72,5</t>
  </si>
  <si>
    <t>135,0</t>
  </si>
  <si>
    <t>152,5</t>
  </si>
  <si>
    <t>127,5</t>
  </si>
  <si>
    <t xml:space="preserve">Belkin Iu. </t>
  </si>
  <si>
    <t xml:space="preserve">Russia / Kerch </t>
  </si>
  <si>
    <t>42,5</t>
  </si>
  <si>
    <t>WEIGHT CLASS   60</t>
  </si>
  <si>
    <t>59,10</t>
  </si>
  <si>
    <t>WEIGHT CLASS   67.5</t>
  </si>
  <si>
    <t>107,5</t>
  </si>
  <si>
    <t>160,0</t>
  </si>
  <si>
    <t>167,5</t>
  </si>
  <si>
    <t>172,5</t>
  </si>
  <si>
    <t>64,30</t>
  </si>
  <si>
    <t>67,5</t>
  </si>
  <si>
    <t>65,90</t>
  </si>
  <si>
    <t xml:space="preserve">Russia / Tula </t>
  </si>
  <si>
    <t xml:space="preserve">Russia / Ekaterinburg </t>
  </si>
  <si>
    <t>Kharina Valentina</t>
  </si>
  <si>
    <t>Open (24.12.1977)/42</t>
  </si>
  <si>
    <t>65,00</t>
  </si>
  <si>
    <t xml:space="preserve">Prokopov M. </t>
  </si>
  <si>
    <t>WEIGHT CLASS   75</t>
  </si>
  <si>
    <t>Saiyfulina Natalya</t>
  </si>
  <si>
    <t>Open (14.01.1982)/38</t>
  </si>
  <si>
    <t>70,70</t>
  </si>
  <si>
    <t xml:space="preserve">Russia / Norilsk </t>
  </si>
  <si>
    <t xml:space="preserve">Saiyfulin A. </t>
  </si>
  <si>
    <t>74,00</t>
  </si>
  <si>
    <t>71,90</t>
  </si>
  <si>
    <t>WEIGHT CLASS   82.5</t>
  </si>
  <si>
    <t>165,0</t>
  </si>
  <si>
    <t>170,0</t>
  </si>
  <si>
    <t>WEIGHT CLASS   90</t>
  </si>
  <si>
    <t>88,80</t>
  </si>
  <si>
    <t>175,0</t>
  </si>
  <si>
    <t>Open (10.10.1991)/29</t>
  </si>
  <si>
    <t>55,80</t>
  </si>
  <si>
    <t>185,0</t>
  </si>
  <si>
    <t>195,0</t>
  </si>
  <si>
    <t>200,0</t>
  </si>
  <si>
    <t>180,0</t>
  </si>
  <si>
    <t xml:space="preserve">Russia / Baksan </t>
  </si>
  <si>
    <t>190,0</t>
  </si>
  <si>
    <t xml:space="preserve">Tkhamitlokov K. </t>
  </si>
  <si>
    <t xml:space="preserve">Russia / Vladimir </t>
  </si>
  <si>
    <t>66,60</t>
  </si>
  <si>
    <t>210,0</t>
  </si>
  <si>
    <t>215,0</t>
  </si>
  <si>
    <t>220,0</t>
  </si>
  <si>
    <t>235,0</t>
  </si>
  <si>
    <t>250,0</t>
  </si>
  <si>
    <t>Teens 14-16 (26.01.2005)/15</t>
  </si>
  <si>
    <t xml:space="preserve">Azerbaijan / Baku </t>
  </si>
  <si>
    <t>202,5</t>
  </si>
  <si>
    <t>230,0</t>
  </si>
  <si>
    <t>73,70</t>
  </si>
  <si>
    <t xml:space="preserve">Russia / Syktyvkar </t>
  </si>
  <si>
    <t>217,5</t>
  </si>
  <si>
    <t>245,0</t>
  </si>
  <si>
    <t>255,0</t>
  </si>
  <si>
    <t>225,0</t>
  </si>
  <si>
    <t>240,0</t>
  </si>
  <si>
    <t>192,5</t>
  </si>
  <si>
    <t>197,5</t>
  </si>
  <si>
    <t>207,5</t>
  </si>
  <si>
    <t>212,5</t>
  </si>
  <si>
    <t>Kriukov Sergeiy</t>
  </si>
  <si>
    <t>Masters 40-49 (30.07.1980)/40</t>
  </si>
  <si>
    <t>74,50</t>
  </si>
  <si>
    <t xml:space="preserve">Russia / Ryazan </t>
  </si>
  <si>
    <t>147,5</t>
  </si>
  <si>
    <t xml:space="preserve">Bondarev P. </t>
  </si>
  <si>
    <t>82,00</t>
  </si>
  <si>
    <t>182,5</t>
  </si>
  <si>
    <t>80,80</t>
  </si>
  <si>
    <t xml:space="preserve">Russia / Liubertsy </t>
  </si>
  <si>
    <t xml:space="preserve">Danielyan S. </t>
  </si>
  <si>
    <t>Ivanov Denis</t>
  </si>
  <si>
    <t>Open (27.06.1980)/40</t>
  </si>
  <si>
    <t>80,50</t>
  </si>
  <si>
    <t xml:space="preserve">Russia / Kaliningrad </t>
  </si>
  <si>
    <t>177,5</t>
  </si>
  <si>
    <t>81,60</t>
  </si>
  <si>
    <t>205,0</t>
  </si>
  <si>
    <t>252,5</t>
  </si>
  <si>
    <t>262,5</t>
  </si>
  <si>
    <t>81,00</t>
  </si>
  <si>
    <t>237,5</t>
  </si>
  <si>
    <t>82,40</t>
  </si>
  <si>
    <t>7</t>
  </si>
  <si>
    <t xml:space="preserve">Russia / Sergiev Posad </t>
  </si>
  <si>
    <t xml:space="preserve">Smirnov D. </t>
  </si>
  <si>
    <t>Masters 40-49 (27.06.1980)/40</t>
  </si>
  <si>
    <t>89,30</t>
  </si>
  <si>
    <t>260,0</t>
  </si>
  <si>
    <t>270,0</t>
  </si>
  <si>
    <t>232,5</t>
  </si>
  <si>
    <t>275,0</t>
  </si>
  <si>
    <t xml:space="preserve">Russia / Nakhabino </t>
  </si>
  <si>
    <t>89,50</t>
  </si>
  <si>
    <t xml:space="preserve">Russia / Irkutsk </t>
  </si>
  <si>
    <t>8</t>
  </si>
  <si>
    <t>88,90</t>
  </si>
  <si>
    <t>88,60</t>
  </si>
  <si>
    <t>WEIGHT CLASS   100</t>
  </si>
  <si>
    <t>99,10</t>
  </si>
  <si>
    <t xml:space="preserve">Russia / Zelenograd </t>
  </si>
  <si>
    <t>97,90</t>
  </si>
  <si>
    <t>98,20</t>
  </si>
  <si>
    <t>99,20</t>
  </si>
  <si>
    <t xml:space="preserve">Russia / Ramenskoe </t>
  </si>
  <si>
    <t>98,80</t>
  </si>
  <si>
    <t>96,60</t>
  </si>
  <si>
    <t xml:space="preserve">Russia / Sobinka </t>
  </si>
  <si>
    <t>162,5</t>
  </si>
  <si>
    <t>WEIGHT CLASS   110</t>
  </si>
  <si>
    <t>Vorokov Sultan</t>
  </si>
  <si>
    <t>Junior (23.03.1997)/23</t>
  </si>
  <si>
    <t>102,00</t>
  </si>
  <si>
    <t>108,40</t>
  </si>
  <si>
    <t>104,20</t>
  </si>
  <si>
    <t xml:space="preserve">Russia / Noginsk </t>
  </si>
  <si>
    <t>WEIGHT CLASS   125</t>
  </si>
  <si>
    <t>310,0</t>
  </si>
  <si>
    <t>330,0</t>
  </si>
  <si>
    <t>340,0</t>
  </si>
  <si>
    <t>122,50</t>
  </si>
  <si>
    <t>227,5</t>
  </si>
  <si>
    <t>WEIGHT CLASS   140</t>
  </si>
  <si>
    <t>290,0</t>
  </si>
  <si>
    <t xml:space="preserve">Lugovoiy A. </t>
  </si>
  <si>
    <t>WEIGHT CLASS   140+</t>
  </si>
  <si>
    <t xml:space="preserve">Best lifters </t>
  </si>
  <si>
    <t xml:space="preserve">Women </t>
  </si>
  <si>
    <t xml:space="preserve">Open </t>
  </si>
  <si>
    <t xml:space="preserve">Name </t>
  </si>
  <si>
    <t xml:space="preserve">Age class </t>
  </si>
  <si>
    <t>Weight class</t>
  </si>
  <si>
    <t xml:space="preserve">Wilks </t>
  </si>
  <si>
    <t>56</t>
  </si>
  <si>
    <t>380,0</t>
  </si>
  <si>
    <t>332,5</t>
  </si>
  <si>
    <t>67.5</t>
  </si>
  <si>
    <t xml:space="preserve">Men </t>
  </si>
  <si>
    <t xml:space="preserve">Teens </t>
  </si>
  <si>
    <t xml:space="preserve">Teens 17-19 </t>
  </si>
  <si>
    <t>82.5</t>
  </si>
  <si>
    <t xml:space="preserve">Junior </t>
  </si>
  <si>
    <t>125</t>
  </si>
  <si>
    <t>140</t>
  </si>
  <si>
    <t>75</t>
  </si>
  <si>
    <t>90</t>
  </si>
  <si>
    <t xml:space="preserve">Masters </t>
  </si>
  <si>
    <t xml:space="preserve">Masters 50-59 </t>
  </si>
  <si>
    <t xml:space="preserve">Masters 70-79 </t>
  </si>
  <si>
    <t>100</t>
  </si>
  <si>
    <t xml:space="preserve">Masters 40-49 </t>
  </si>
  <si>
    <t>54,50</t>
  </si>
  <si>
    <t>32,5</t>
  </si>
  <si>
    <t>35,0</t>
  </si>
  <si>
    <t xml:space="preserve">Deniskin S. </t>
  </si>
  <si>
    <t>Iusupova Roza</t>
  </si>
  <si>
    <t>Open (01.04.1981)/39</t>
  </si>
  <si>
    <t xml:space="preserve">Russia / Saratov </t>
  </si>
  <si>
    <t xml:space="preserve">Gorbachev G. </t>
  </si>
  <si>
    <t>59,60</t>
  </si>
  <si>
    <t>Russia / Saint Petersburg</t>
  </si>
  <si>
    <t xml:space="preserve">Russia / Krasnoyarsk </t>
  </si>
  <si>
    <t>Ertman Anastasiya</t>
  </si>
  <si>
    <t>Open (20.12.1995)/24</t>
  </si>
  <si>
    <t>110,5</t>
  </si>
  <si>
    <t xml:space="preserve">Sukhova E. </t>
  </si>
  <si>
    <t>64,90</t>
  </si>
  <si>
    <t>66,20</t>
  </si>
  <si>
    <t>81,30</t>
  </si>
  <si>
    <t>72,50</t>
  </si>
  <si>
    <t xml:space="preserve">Russia / Kirov </t>
  </si>
  <si>
    <t xml:space="preserve">Kriukov E. </t>
  </si>
  <si>
    <t>73,90</t>
  </si>
  <si>
    <t xml:space="preserve">Russia / Khimki </t>
  </si>
  <si>
    <t xml:space="preserve">Obukhov F. </t>
  </si>
  <si>
    <t>265,0</t>
  </si>
  <si>
    <t>280,0</t>
  </si>
  <si>
    <t>242,5</t>
  </si>
  <si>
    <t>247,5</t>
  </si>
  <si>
    <t>Filippov Andreiy</t>
  </si>
  <si>
    <t>Open (10.06.1989)/31</t>
  </si>
  <si>
    <t>82,30</t>
  </si>
  <si>
    <t xml:space="preserve">Russia / Khvalynsk </t>
  </si>
  <si>
    <t xml:space="preserve">Russia / Tomsk </t>
  </si>
  <si>
    <t xml:space="preserve">Stepanov I. </t>
  </si>
  <si>
    <t>89,00</t>
  </si>
  <si>
    <t>300,0</t>
  </si>
  <si>
    <t>285,0</t>
  </si>
  <si>
    <t>222,5</t>
  </si>
  <si>
    <t xml:space="preserve">Russia / Volgograd </t>
  </si>
  <si>
    <t xml:space="preserve">Russia / Astrakhan </t>
  </si>
  <si>
    <t>272,5</t>
  </si>
  <si>
    <t>88,00</t>
  </si>
  <si>
    <t xml:space="preserve">Russia / Samara </t>
  </si>
  <si>
    <t>98,40</t>
  </si>
  <si>
    <t xml:space="preserve">Suslov N. </t>
  </si>
  <si>
    <t>97,50</t>
  </si>
  <si>
    <t>98,00</t>
  </si>
  <si>
    <t xml:space="preserve">Russia / Bryansk </t>
  </si>
  <si>
    <t>99,40</t>
  </si>
  <si>
    <t>100,00</t>
  </si>
  <si>
    <t>315,0</t>
  </si>
  <si>
    <t>Open (25.12.1985)/34</t>
  </si>
  <si>
    <t>99,70</t>
  </si>
  <si>
    <t>99,50</t>
  </si>
  <si>
    <t>94,80</t>
  </si>
  <si>
    <t>9</t>
  </si>
  <si>
    <t xml:space="preserve">Russia / Balashikha </t>
  </si>
  <si>
    <t>10</t>
  </si>
  <si>
    <t>109,10</t>
  </si>
  <si>
    <t>109,50</t>
  </si>
  <si>
    <t>320,0</t>
  </si>
  <si>
    <t>307,5</t>
  </si>
  <si>
    <t>345,0</t>
  </si>
  <si>
    <t>Samsonov Iuriiy</t>
  </si>
  <si>
    <t>Open (24.08.1982)/38</t>
  </si>
  <si>
    <t>109,00</t>
  </si>
  <si>
    <t xml:space="preserve">Kochetkov A. </t>
  </si>
  <si>
    <t>Zhdanov Roman</t>
  </si>
  <si>
    <t>Open (22.07.1983)/37</t>
  </si>
  <si>
    <t>Zakharov Fedor</t>
  </si>
  <si>
    <t>Masters 40-49 (14.01.1976)/44</t>
  </si>
  <si>
    <t>103,30</t>
  </si>
  <si>
    <t xml:space="preserve">Russia / Naberezhnie Chelny </t>
  </si>
  <si>
    <t xml:space="preserve">Russia / Gelendzhik </t>
  </si>
  <si>
    <t>350,0</t>
  </si>
  <si>
    <t>370,0</t>
  </si>
  <si>
    <t xml:space="preserve">Russia / Kostroma </t>
  </si>
  <si>
    <t>118,40</t>
  </si>
  <si>
    <t xml:space="preserve">Russia / Yaroslavl </t>
  </si>
  <si>
    <t xml:space="preserve">Russia / Saransk </t>
  </si>
  <si>
    <t>110</t>
  </si>
  <si>
    <t>Butorina Natalya</t>
  </si>
  <si>
    <t>Open (27.02.1985)/35</t>
  </si>
  <si>
    <t>74,40</t>
  </si>
  <si>
    <t xml:space="preserve">Russia / Dubna </t>
  </si>
  <si>
    <t>75,00</t>
  </si>
  <si>
    <t xml:space="preserve">Russia / Schelkovo </t>
  </si>
  <si>
    <t xml:space="preserve">Tanaev M. </t>
  </si>
  <si>
    <t xml:space="preserve">Belarus / Lida </t>
  </si>
  <si>
    <t>79,40</t>
  </si>
  <si>
    <t xml:space="preserve">Schennikov A. </t>
  </si>
  <si>
    <t xml:space="preserve">Tajikistan / Dushanbe </t>
  </si>
  <si>
    <t>287,5</t>
  </si>
  <si>
    <t>Open (12.03.1987)/33</t>
  </si>
  <si>
    <t>89,10</t>
  </si>
  <si>
    <t>92,40</t>
  </si>
  <si>
    <t xml:space="preserve">Russia / Ulyanovsk </t>
  </si>
  <si>
    <t>Kalinin Anton</t>
  </si>
  <si>
    <t>Open (05.07.1986)/34</t>
  </si>
  <si>
    <t>Galashev Nikita</t>
  </si>
  <si>
    <t>Open (16.06.1994)/26</t>
  </si>
  <si>
    <t>98,50</t>
  </si>
  <si>
    <t>108,00</t>
  </si>
  <si>
    <t>122,00</t>
  </si>
  <si>
    <t>Pavliukovich Olga</t>
  </si>
  <si>
    <t>54,70</t>
  </si>
  <si>
    <t xml:space="preserve">Belarus / Brest </t>
  </si>
  <si>
    <t xml:space="preserve">Dremenkov K. </t>
  </si>
  <si>
    <t xml:space="preserve">Nazimov D. </t>
  </si>
  <si>
    <t xml:space="preserve">Russia / Serpukhov </t>
  </si>
  <si>
    <t>82,50</t>
  </si>
  <si>
    <t>78,30</t>
  </si>
  <si>
    <t>90,00</t>
  </si>
  <si>
    <t>282,5</t>
  </si>
  <si>
    <t>88,10</t>
  </si>
  <si>
    <t>86,20</t>
  </si>
  <si>
    <t>Dremenkov Konstantin</t>
  </si>
  <si>
    <t>Masters 50-59 (21.07.1966)/54</t>
  </si>
  <si>
    <t>87,10</t>
  </si>
  <si>
    <t>Pavlov Dmitriiy</t>
  </si>
  <si>
    <t>Open (11.06.1996)/24</t>
  </si>
  <si>
    <t>97,00</t>
  </si>
  <si>
    <t>187,5</t>
  </si>
  <si>
    <t xml:space="preserve">Korotkov M. </t>
  </si>
  <si>
    <t>96,20</t>
  </si>
  <si>
    <t xml:space="preserve">Beloval E. </t>
  </si>
  <si>
    <t>102,70</t>
  </si>
  <si>
    <t>Niyaziev Enver</t>
  </si>
  <si>
    <t>Open (22.07.1989)/31</t>
  </si>
  <si>
    <t>106,80</t>
  </si>
  <si>
    <t xml:space="preserve">Russia / Ulan-Ude </t>
  </si>
  <si>
    <t xml:space="preserve">Svoboda E. </t>
  </si>
  <si>
    <t>118,50</t>
  </si>
  <si>
    <t>Israilov Arbi</t>
  </si>
  <si>
    <t>Masters 50-59 (20.07.1968)/52</t>
  </si>
  <si>
    <t>114,00</t>
  </si>
  <si>
    <t xml:space="preserve">Russia / Blagoveschensk </t>
  </si>
  <si>
    <t xml:space="preserve">Telidis K. </t>
  </si>
  <si>
    <t>360,0</t>
  </si>
  <si>
    <t>325,0</t>
  </si>
  <si>
    <t>108,90</t>
  </si>
  <si>
    <t>Svoboda Evgeniiy</t>
  </si>
  <si>
    <t>Open (23.03.1972)/48</t>
  </si>
  <si>
    <t>95,30</t>
  </si>
  <si>
    <t xml:space="preserve">Niyaziev E. </t>
  </si>
  <si>
    <t>Masters 40-49 (23.03.1972)/48</t>
  </si>
  <si>
    <t>27,5</t>
  </si>
  <si>
    <t>30,0</t>
  </si>
  <si>
    <t>73,50</t>
  </si>
  <si>
    <t>73,20</t>
  </si>
  <si>
    <t>Ravinskiiy Arkadiiy</t>
  </si>
  <si>
    <t>Open (24.05.1994)/26</t>
  </si>
  <si>
    <t>80,20</t>
  </si>
  <si>
    <t>Durandin Sergeiy</t>
  </si>
  <si>
    <t>Open (04.05.1974)/46</t>
  </si>
  <si>
    <t>99,60</t>
  </si>
  <si>
    <t>Usachev Igor</t>
  </si>
  <si>
    <t>94,10</t>
  </si>
  <si>
    <t>Masters 40-49 (04.05.1974)/46</t>
  </si>
  <si>
    <t>Masters 50-59 (06.06.1965)/55</t>
  </si>
  <si>
    <t>Gavrilov Sergeiy</t>
  </si>
  <si>
    <t>Open (08.08.1979)/41</t>
  </si>
  <si>
    <t>125,00</t>
  </si>
  <si>
    <t xml:space="preserve">Russia / Nizhniy Novgorod </t>
  </si>
  <si>
    <t>Junior (29.05.1999)/21</t>
  </si>
  <si>
    <t xml:space="preserve">Russia / Reutov </t>
  </si>
  <si>
    <t>88,40</t>
  </si>
  <si>
    <t>Sheiykin Alekseiy</t>
  </si>
  <si>
    <t>89,60</t>
  </si>
  <si>
    <t xml:space="preserve">Belarus / Bobruisk </t>
  </si>
  <si>
    <t xml:space="preserve">Russia / Korolev </t>
  </si>
  <si>
    <t>120,40</t>
  </si>
  <si>
    <t xml:space="preserve">Masters 60-69 </t>
  </si>
  <si>
    <t>VI World Championship
WRPF Bench Press Raw Doping Tested
Russia / Moscow, December 17-20, 2020</t>
  </si>
  <si>
    <t>Result</t>
  </si>
  <si>
    <t>Zhukova Iuliya</t>
  </si>
  <si>
    <t>Open (11.12.1983)/37</t>
  </si>
  <si>
    <t>Kharitonova Darya</t>
  </si>
  <si>
    <t>Open (20.12.1988)/31</t>
  </si>
  <si>
    <t xml:space="preserve">Russia / Elektrostal </t>
  </si>
  <si>
    <t xml:space="preserve">Razumov I. </t>
  </si>
  <si>
    <t>Yakhina Aliona</t>
  </si>
  <si>
    <t>Open (26.12.1991)/28</t>
  </si>
  <si>
    <t>51,30</t>
  </si>
  <si>
    <t xml:space="preserve">Oreshin I. </t>
  </si>
  <si>
    <t>Talaeva Evgeniya</t>
  </si>
  <si>
    <t>Open (15.09.1993)/27</t>
  </si>
  <si>
    <t>51,90</t>
  </si>
  <si>
    <t xml:space="preserve">Talaev K. </t>
  </si>
  <si>
    <t>Fomina Margarita</t>
  </si>
  <si>
    <t>Open (28.09.1989)/31</t>
  </si>
  <si>
    <t>51,20</t>
  </si>
  <si>
    <t xml:space="preserve">Verenikina M. </t>
  </si>
  <si>
    <t>Shpak Tatyana</t>
  </si>
  <si>
    <t>Open (10.03.1982)/38</t>
  </si>
  <si>
    <t>50,70</t>
  </si>
  <si>
    <t>Tishina Irina</t>
  </si>
  <si>
    <t>Masters 40-49 (05.10.1978)/42</t>
  </si>
  <si>
    <t xml:space="preserve">Russia / Krasnodar </t>
  </si>
  <si>
    <t>Scherbakova Elena</t>
  </si>
  <si>
    <t>Masters 40-49 (14.04.1979)/41</t>
  </si>
  <si>
    <t>50,60</t>
  </si>
  <si>
    <t xml:space="preserve">Rusakov A. </t>
  </si>
  <si>
    <t>Kondrashkina Kristina</t>
  </si>
  <si>
    <t>Junior (04.07.1998)/22</t>
  </si>
  <si>
    <t>Savchuk Anastasiya</t>
  </si>
  <si>
    <t>Open (31.03.1992)/28</t>
  </si>
  <si>
    <t>53,50</t>
  </si>
  <si>
    <t xml:space="preserve">Russia / Voskresensk </t>
  </si>
  <si>
    <t xml:space="preserve">Silantev A. </t>
  </si>
  <si>
    <t>Gavrilova Olga</t>
  </si>
  <si>
    <t>Open (30.11.1985)/35</t>
  </si>
  <si>
    <t>53,00</t>
  </si>
  <si>
    <t xml:space="preserve">Pozdnyakov I. </t>
  </si>
  <si>
    <t>Verenikina Mariya</t>
  </si>
  <si>
    <t>Open (14.10.1985)/35</t>
  </si>
  <si>
    <t>55,20</t>
  </si>
  <si>
    <t xml:space="preserve">Denis N. </t>
  </si>
  <si>
    <t>Vinogradova Olga</t>
  </si>
  <si>
    <t>Open (15.07.1982)/38</t>
  </si>
  <si>
    <t>Shuklina Elena</t>
  </si>
  <si>
    <t>Open (10.08.1985)/35</t>
  </si>
  <si>
    <t xml:space="preserve">Russia / Voronezh </t>
  </si>
  <si>
    <t>Kuznetsova Anna</t>
  </si>
  <si>
    <t>Open (21.10.1987)/33</t>
  </si>
  <si>
    <t xml:space="preserve">Russia / Odintsovo </t>
  </si>
  <si>
    <t xml:space="preserve">Korolev E. </t>
  </si>
  <si>
    <t>Bruleva Evgeniya</t>
  </si>
  <si>
    <t>Open (19.12.1989)/30</t>
  </si>
  <si>
    <t>59,70</t>
  </si>
  <si>
    <t xml:space="preserve">Dobrovolskaya A. </t>
  </si>
  <si>
    <t>Zakharova Olga</t>
  </si>
  <si>
    <t>Masters 40-49 (31.07.1977)/43</t>
  </si>
  <si>
    <t>59,50</t>
  </si>
  <si>
    <t>Medvedeva Elena</t>
  </si>
  <si>
    <t>Masters 50-59 (10.10.1962)/58</t>
  </si>
  <si>
    <t>59,80</t>
  </si>
  <si>
    <t xml:space="preserve">Medvedev K. </t>
  </si>
  <si>
    <t>Barinova Veronika</t>
  </si>
  <si>
    <t>Junior (28.07.2000)/20</t>
  </si>
  <si>
    <t>62,90</t>
  </si>
  <si>
    <t xml:space="preserve">Russia / Velikie Luki </t>
  </si>
  <si>
    <t xml:space="preserve">Dokuchaev K., Siumaiykin M. </t>
  </si>
  <si>
    <t>Gadetskaya Mariya</t>
  </si>
  <si>
    <t>Open (19.04.1987)/33</t>
  </si>
  <si>
    <t>61,50</t>
  </si>
  <si>
    <t xml:space="preserve">Russia / Klin </t>
  </si>
  <si>
    <t xml:space="preserve">Kozlov I. </t>
  </si>
  <si>
    <t>Sergeeva Kristina</t>
  </si>
  <si>
    <t>Open (02.03.1992)/28</t>
  </si>
  <si>
    <t>65,50</t>
  </si>
  <si>
    <t>Abramova Elena</t>
  </si>
  <si>
    <t>Open (28.06.1993)/27</t>
  </si>
  <si>
    <t>66,00</t>
  </si>
  <si>
    <t xml:space="preserve">Kolokhin P. </t>
  </si>
  <si>
    <t>Loskutova Galina</t>
  </si>
  <si>
    <t>Open (17.05.1987)/33</t>
  </si>
  <si>
    <t xml:space="preserve">Russia / Znamensk </t>
  </si>
  <si>
    <t xml:space="preserve">Vishnyakov M. </t>
  </si>
  <si>
    <t>Romasenko Irina</t>
  </si>
  <si>
    <t>Masters 40-49 (22.12.1975)/44</t>
  </si>
  <si>
    <t>Fediunina Yana</t>
  </si>
  <si>
    <t>Masters 40-49 (15.11.1975)/45</t>
  </si>
  <si>
    <t>66,90</t>
  </si>
  <si>
    <t xml:space="preserve">Pragin R. </t>
  </si>
  <si>
    <t>Doskhoeva Maret</t>
  </si>
  <si>
    <t>Junior (03.12.1999)/21</t>
  </si>
  <si>
    <t>Open (03.12.1999)/21</t>
  </si>
  <si>
    <t>Romasenko Daniil</t>
  </si>
  <si>
    <t>Teens 14-16 (19.02.2008)/12</t>
  </si>
  <si>
    <t>50,20</t>
  </si>
  <si>
    <t>Sergeenko Nikita</t>
  </si>
  <si>
    <t>Teens 14-16 (24.06.2005)/15</t>
  </si>
  <si>
    <t>54,00</t>
  </si>
  <si>
    <t xml:space="preserve">Novikov I. </t>
  </si>
  <si>
    <t>Yagodin Ivan</t>
  </si>
  <si>
    <t>Open (24.08.1995)/25</t>
  </si>
  <si>
    <t>58,10</t>
  </si>
  <si>
    <t xml:space="preserve">Yagodin A. </t>
  </si>
  <si>
    <t>Traskin Kirill</t>
  </si>
  <si>
    <t>Teens 14-16 (07.08.2004)/16</t>
  </si>
  <si>
    <t>Bezruchko Timofeiy</t>
  </si>
  <si>
    <t>Teens 14-16 (12.10.2006)/14</t>
  </si>
  <si>
    <t>67,40</t>
  </si>
  <si>
    <t>Tikhonov Semen</t>
  </si>
  <si>
    <t>Teens 14-16 (16.01.2004)/16</t>
  </si>
  <si>
    <t>60,80</t>
  </si>
  <si>
    <t xml:space="preserve">Tikhonov A. </t>
  </si>
  <si>
    <t>Balashov Vladislav</t>
  </si>
  <si>
    <t>Teens 17-19 (19.03.2001)/19</t>
  </si>
  <si>
    <t>65,70</t>
  </si>
  <si>
    <t xml:space="preserve">Nikitin S. </t>
  </si>
  <si>
    <t>Scherbakov Ivan</t>
  </si>
  <si>
    <t>Teens 17-19 (26.09.2002)/18</t>
  </si>
  <si>
    <t xml:space="preserve">Russia / Istra </t>
  </si>
  <si>
    <t xml:space="preserve">Scherbakov E. </t>
  </si>
  <si>
    <t>Ramazanov Bugaldin</t>
  </si>
  <si>
    <t>Teens 17-19 (26.09.2003)/17</t>
  </si>
  <si>
    <t>65,60</t>
  </si>
  <si>
    <t xml:space="preserve"> Russia / Alkadar </t>
  </si>
  <si>
    <t xml:space="preserve">Abdurakhmanov Z. </t>
  </si>
  <si>
    <t>Sokurov Georgiiy</t>
  </si>
  <si>
    <t>Junior (15.02.2000)/20</t>
  </si>
  <si>
    <t xml:space="preserve">Russia / Vladikavkaz </t>
  </si>
  <si>
    <t>Rueda-Suares Valentin</t>
  </si>
  <si>
    <t>Open (08.03.1990)/30</t>
  </si>
  <si>
    <t xml:space="preserve">Kok D. </t>
  </si>
  <si>
    <t>Open (15.02.2000)/20</t>
  </si>
  <si>
    <t>Filin Sergeiy</t>
  </si>
  <si>
    <t>Open (17.08.1990)/30</t>
  </si>
  <si>
    <t xml:space="preserve">Russia / Melenki </t>
  </si>
  <si>
    <t>Chepets Iuriiy</t>
  </si>
  <si>
    <t>Masters 70-79 (19.04.1943)/77</t>
  </si>
  <si>
    <t>64,50</t>
  </si>
  <si>
    <t>Zaiynutdinov Ildar</t>
  </si>
  <si>
    <t>Teens 17-19 (23.09.2003)/17</t>
  </si>
  <si>
    <t>Baryshev Dmitriiy</t>
  </si>
  <si>
    <t>Junior (09.01.1997)/23</t>
  </si>
  <si>
    <t>Khina Aleksandr</t>
  </si>
  <si>
    <t>Junior (23.01.1997)/23</t>
  </si>
  <si>
    <t>Yakovlev Artur</t>
  </si>
  <si>
    <t>Open (12.08.1996)/24</t>
  </si>
  <si>
    <t xml:space="preserve">Sobtsov D. </t>
  </si>
  <si>
    <t>Ostertak Aleksandr</t>
  </si>
  <si>
    <t>Open (17.12.1985)/35</t>
  </si>
  <si>
    <t xml:space="preserve">Russia / Barnaul </t>
  </si>
  <si>
    <t xml:space="preserve">Konovalov S., Rybalchenko K. </t>
  </si>
  <si>
    <t>Gubenko Igor</t>
  </si>
  <si>
    <t>Open (16.07.1971)/49</t>
  </si>
  <si>
    <t>73,30</t>
  </si>
  <si>
    <t>Talaev Kirill</t>
  </si>
  <si>
    <t>Open (31.08.1989)/31</t>
  </si>
  <si>
    <t xml:space="preserve">Timofeev N. </t>
  </si>
  <si>
    <t>Vlasov Mikhail</t>
  </si>
  <si>
    <t>Open (20.12.1983)/36</t>
  </si>
  <si>
    <t xml:space="preserve">Russia / Krasnogorsk </t>
  </si>
  <si>
    <t>Bondyashov Vladimir</t>
  </si>
  <si>
    <t>Open (05.07.1992)/28</t>
  </si>
  <si>
    <t>73,40</t>
  </si>
  <si>
    <t xml:space="preserve">Kharina V. </t>
  </si>
  <si>
    <t>Nadin Vadim</t>
  </si>
  <si>
    <t>Open (01.12.1996)/24</t>
  </si>
  <si>
    <t>Maslennikov Nikolaiy</t>
  </si>
  <si>
    <t>Open (18.12.1992)/28</t>
  </si>
  <si>
    <t xml:space="preserve">Russia / Naro-Fominsk </t>
  </si>
  <si>
    <t>Ermakov Sergeiy</t>
  </si>
  <si>
    <t>Open (17.12.1991)/29</t>
  </si>
  <si>
    <t xml:space="preserve">Parfenov A. </t>
  </si>
  <si>
    <t>Khruzov Yan</t>
  </si>
  <si>
    <t>Open (22.08.1991)/29</t>
  </si>
  <si>
    <t>Masters 40-49 (16.07.1971)/49</t>
  </si>
  <si>
    <t>Vinokurov Oleg</t>
  </si>
  <si>
    <t>Masters 50-59 (10.05.1966)/54</t>
  </si>
  <si>
    <t>74,10</t>
  </si>
  <si>
    <t>Vrinchan Vladimir</t>
  </si>
  <si>
    <t>Masters 60-69 (14.11.1954)/66</t>
  </si>
  <si>
    <t xml:space="preserve">Russia / Gubkinskiy </t>
  </si>
  <si>
    <t xml:space="preserve">Tatyanina Iu. </t>
  </si>
  <si>
    <t>Ponomarev Kirill</t>
  </si>
  <si>
    <t>Teens 17-19 (30.09.2003)/17</t>
  </si>
  <si>
    <t xml:space="preserve">Russia / Kharabali </t>
  </si>
  <si>
    <t xml:space="preserve">Peresvetov V. </t>
  </si>
  <si>
    <t>Savchenko Nikita</t>
  </si>
  <si>
    <t>Teens 17-19 (16.12.2001)/19</t>
  </si>
  <si>
    <t>80,10</t>
  </si>
  <si>
    <t>Iurk Daniil</t>
  </si>
  <si>
    <t>Teens 17-19 (05.11.2001)/19</t>
  </si>
  <si>
    <t>81,40</t>
  </si>
  <si>
    <t xml:space="preserve">Murashov M. </t>
  </si>
  <si>
    <t>Oshkov Aleksandr</t>
  </si>
  <si>
    <t>Teens 17-19 (26.11.2003)/17</t>
  </si>
  <si>
    <t>75,50</t>
  </si>
  <si>
    <t xml:space="preserve">Russia / Volzhsk </t>
  </si>
  <si>
    <t xml:space="preserve">Oshkov S. </t>
  </si>
  <si>
    <t>Agapov Aleksandr</t>
  </si>
  <si>
    <t>Junior (25.08.1999)/21</t>
  </si>
  <si>
    <t>Podkopaev Aleksandr</t>
  </si>
  <si>
    <t>Open (30.08.1996)/24</t>
  </si>
  <si>
    <t xml:space="preserve">Russia / Severskaya </t>
  </si>
  <si>
    <t>Panov Sergeiy</t>
  </si>
  <si>
    <t>Open (16.04.1994)/26</t>
  </si>
  <si>
    <t xml:space="preserve">Russia / Lipetsk </t>
  </si>
  <si>
    <t>Burlakov Igor</t>
  </si>
  <si>
    <t>Open (10.10.1994)/26</t>
  </si>
  <si>
    <t>77,70</t>
  </si>
  <si>
    <t>Sychev Oleg</t>
  </si>
  <si>
    <t>Open (03.01.1991)/29</t>
  </si>
  <si>
    <t>80,70</t>
  </si>
  <si>
    <t xml:space="preserve">Melin A. </t>
  </si>
  <si>
    <t>Kozlov Aleksandr</t>
  </si>
  <si>
    <t>Open (04.07.1981)/39</t>
  </si>
  <si>
    <t>Evseev Igor</t>
  </si>
  <si>
    <t>Open (30.07.1988)/32</t>
  </si>
  <si>
    <t>81,70</t>
  </si>
  <si>
    <t xml:space="preserve">Skoryatin A. </t>
  </si>
  <si>
    <t>Chelakhov Artem</t>
  </si>
  <si>
    <t>Open (21.06.1983)/37</t>
  </si>
  <si>
    <t>Tikhienko Anton</t>
  </si>
  <si>
    <t>Open (04.06.1987)/33</t>
  </si>
  <si>
    <t xml:space="preserve">Russia / Vidnoe </t>
  </si>
  <si>
    <t xml:space="preserve">Evdokimov I. </t>
  </si>
  <si>
    <t>Ivliev Leonid</t>
  </si>
  <si>
    <t>Open (04.01.1989)/31</t>
  </si>
  <si>
    <t>80,40</t>
  </si>
  <si>
    <t>Vakhovskiiy Dmitriiy</t>
  </si>
  <si>
    <t>Open (05.08.1994)/26</t>
  </si>
  <si>
    <t>80,60</t>
  </si>
  <si>
    <t>Zharov Evgeniiy</t>
  </si>
  <si>
    <t>Open (07.11.1986)/34</t>
  </si>
  <si>
    <t>Myasnikov Vladimir</t>
  </si>
  <si>
    <t>Open (02.05.1991)/29</t>
  </si>
  <si>
    <t xml:space="preserve">Tsaplin N. </t>
  </si>
  <si>
    <t>Pozdnyakov Vyacheslav</t>
  </si>
  <si>
    <t>Masters 40-49 (28.09.1971)/49</t>
  </si>
  <si>
    <t>Razuvaev Roman</t>
  </si>
  <si>
    <t>Masters 40-49 (15.02.1975)/45</t>
  </si>
  <si>
    <t xml:space="preserve">Russia / Gubkin </t>
  </si>
  <si>
    <t>Stepanov Grigoriiy</t>
  </si>
  <si>
    <t>Masters 40-49 (11.07.1980)/40</t>
  </si>
  <si>
    <t>Pliusnin Oleg</t>
  </si>
  <si>
    <t>Masters 50-59 (22.03.1963)/57</t>
  </si>
  <si>
    <t>75,70</t>
  </si>
  <si>
    <t xml:space="preserve">Vasev A. </t>
  </si>
  <si>
    <t>Pleshkov Vladimir</t>
  </si>
  <si>
    <t>Masters 70-79 (29.08.1944)/76</t>
  </si>
  <si>
    <t>106,0</t>
  </si>
  <si>
    <t>Salosalov Sergeiy</t>
  </si>
  <si>
    <t>Teens 14-16 (11.09.2004)/16</t>
  </si>
  <si>
    <t xml:space="preserve">Salosalov S. </t>
  </si>
  <si>
    <t>Razinkov Fedor</t>
  </si>
  <si>
    <t>Teens 17-19 (02.03.2002)/18</t>
  </si>
  <si>
    <t>89,90</t>
  </si>
  <si>
    <t xml:space="preserve">Ukraine / Odessa </t>
  </si>
  <si>
    <t xml:space="preserve">Dubinin A. </t>
  </si>
  <si>
    <t>Aksenov Filipp</t>
  </si>
  <si>
    <t>Teens 17-19 (29.08.2003)/17</t>
  </si>
  <si>
    <t>86,30</t>
  </si>
  <si>
    <t xml:space="preserve">Nikitin V. </t>
  </si>
  <si>
    <t>Svorovskiiy Georgiiy</t>
  </si>
  <si>
    <t>Junior (30.05.1997)/23</t>
  </si>
  <si>
    <t>88,30</t>
  </si>
  <si>
    <t>Maksimov Andreiy</t>
  </si>
  <si>
    <t>Junior (21.12.1997)/22</t>
  </si>
  <si>
    <t>84,00</t>
  </si>
  <si>
    <t xml:space="preserve">Russia / Orenburg </t>
  </si>
  <si>
    <t>Shalashov Igor</t>
  </si>
  <si>
    <t>Open (20.11.1981)/39</t>
  </si>
  <si>
    <t>Mischenko Artem</t>
  </si>
  <si>
    <t>Open (26.06.1984)/36</t>
  </si>
  <si>
    <t>88,50</t>
  </si>
  <si>
    <t xml:space="preserve">Chokaev U. </t>
  </si>
  <si>
    <t>Korzhos Maksim</t>
  </si>
  <si>
    <t>Open (06.10.1994)/26</t>
  </si>
  <si>
    <t>87,20</t>
  </si>
  <si>
    <t xml:space="preserve"> Russia / Sychevka </t>
  </si>
  <si>
    <t>Kozyaev Artem</t>
  </si>
  <si>
    <t>Open (08.10.1996)/24</t>
  </si>
  <si>
    <t>Iusaev Kunta</t>
  </si>
  <si>
    <t>Open (28.02.1992)/28</t>
  </si>
  <si>
    <t>87,60</t>
  </si>
  <si>
    <t>Sokol Andreiy</t>
  </si>
  <si>
    <t>Open (22.05.1987)/33</t>
  </si>
  <si>
    <t>87,90</t>
  </si>
  <si>
    <t>Len Igor</t>
  </si>
  <si>
    <t>Open (03.11.1989)/31</t>
  </si>
  <si>
    <t>86,80</t>
  </si>
  <si>
    <t>Fedin Vitaliiy</t>
  </si>
  <si>
    <t>Open (30.11.1987)/33</t>
  </si>
  <si>
    <t xml:space="preserve">Russia / Mytischi </t>
  </si>
  <si>
    <t>Shmigovskiiy Sergeiy</t>
  </si>
  <si>
    <t>Open (06.05.1988)/32</t>
  </si>
  <si>
    <t xml:space="preserve">Mashistov V. </t>
  </si>
  <si>
    <t>Kornilov Alekseiy</t>
  </si>
  <si>
    <t>Open (05.08.1990)/30</t>
  </si>
  <si>
    <t>11</t>
  </si>
  <si>
    <t>Smerdov Evgeniiy</t>
  </si>
  <si>
    <t>Open (26.01.1987)/33</t>
  </si>
  <si>
    <t>86,40</t>
  </si>
  <si>
    <t>12</t>
  </si>
  <si>
    <t>Prokhorov Daniil</t>
  </si>
  <si>
    <t>Open (09.09.1996)/24</t>
  </si>
  <si>
    <t xml:space="preserve">Russia / Elektrougli </t>
  </si>
  <si>
    <t>13</t>
  </si>
  <si>
    <t>Komsulev Mikhail</t>
  </si>
  <si>
    <t>Open (04.04.1990)/30</t>
  </si>
  <si>
    <t xml:space="preserve">Russia / Rybnoe </t>
  </si>
  <si>
    <t>Izvekov Anatoliiy</t>
  </si>
  <si>
    <t>Open (16.04.1988)/32</t>
  </si>
  <si>
    <t>Schennikov Andreiy</t>
  </si>
  <si>
    <t>Masters 40-49 (14.10.1974)/46</t>
  </si>
  <si>
    <t>Taldykin Alekseiy</t>
  </si>
  <si>
    <t>Masters 40-49 (29.03.1980)/40</t>
  </si>
  <si>
    <t>89,20</t>
  </si>
  <si>
    <t>Khorkhordin Igor</t>
  </si>
  <si>
    <t>Masters 50-59 (15.06.1967)/53</t>
  </si>
  <si>
    <t>87,80</t>
  </si>
  <si>
    <t>Sorokin Gennadiiy</t>
  </si>
  <si>
    <t>Masters 60-69 (08.09.1959)/61</t>
  </si>
  <si>
    <t>89,80</t>
  </si>
  <si>
    <t>Klimenko Vladimir</t>
  </si>
  <si>
    <t>Masters 70-79 (12.03.1945)/75</t>
  </si>
  <si>
    <t>87,30</t>
  </si>
  <si>
    <t xml:space="preserve">Naumov A. </t>
  </si>
  <si>
    <t>Shamin Georgiiy</t>
  </si>
  <si>
    <t>Teens 14-16 (30.10.2007)/13</t>
  </si>
  <si>
    <t>91,50</t>
  </si>
  <si>
    <t xml:space="preserve">Russia / Dolgoprudniy </t>
  </si>
  <si>
    <t>Ismoilov Dzhovidon</t>
  </si>
  <si>
    <t>Junior (21.07.1998)/22</t>
  </si>
  <si>
    <t>Kolenko Vasiliiy</t>
  </si>
  <si>
    <t>Open (26.11.1982)/38</t>
  </si>
  <si>
    <t>Open (21.07.1998)/22</t>
  </si>
  <si>
    <t>Konovalov Sergeiy</t>
  </si>
  <si>
    <t>Open (23.05.1987)/33</t>
  </si>
  <si>
    <t xml:space="preserve">Merkulov A. </t>
  </si>
  <si>
    <t>Bogachev Andreiy</t>
  </si>
  <si>
    <t>Open (29.04.1994)/26</t>
  </si>
  <si>
    <t>97,80</t>
  </si>
  <si>
    <t xml:space="preserve">Russia / Volgodonsk </t>
  </si>
  <si>
    <t>Andreev Andreiy</t>
  </si>
  <si>
    <t>Open (08.03.1979)/41</t>
  </si>
  <si>
    <t xml:space="preserve">Russia / Kashin </t>
  </si>
  <si>
    <t>Getmanchuk Anton</t>
  </si>
  <si>
    <t>Open (07.07.1981)/39</t>
  </si>
  <si>
    <t>98,90</t>
  </si>
  <si>
    <t>Romasenko Nikolaiy</t>
  </si>
  <si>
    <t>Masters 40-49 (19.12.1973)/46</t>
  </si>
  <si>
    <t>Bezverbnyiy Alekseiy</t>
  </si>
  <si>
    <t>Masters 40-49 (18.03.1973)/47</t>
  </si>
  <si>
    <t>94,20</t>
  </si>
  <si>
    <t xml:space="preserve">Russia / Sochi </t>
  </si>
  <si>
    <t>Shurygin Iuriiy</t>
  </si>
  <si>
    <t>Masters 40-49 (23.10.1971)/49</t>
  </si>
  <si>
    <t>99,30</t>
  </si>
  <si>
    <t xml:space="preserve">Russia / Nizhniy Tagil </t>
  </si>
  <si>
    <t>Shabalin Aleksandr</t>
  </si>
  <si>
    <t>Masters 40-49 (07.09.1971)/49</t>
  </si>
  <si>
    <t>99,80</t>
  </si>
  <si>
    <t>Kazantsev Ivan</t>
  </si>
  <si>
    <t>Masters 50-59 (29.09.1967)/53</t>
  </si>
  <si>
    <t xml:space="preserve">Russia / Kamyshlov </t>
  </si>
  <si>
    <t>190,5</t>
  </si>
  <si>
    <t xml:space="preserve">Pastukhova L. </t>
  </si>
  <si>
    <t>Strakhalis Sergeiy</t>
  </si>
  <si>
    <t>Masters 50-59 (10.03.1963)/57</t>
  </si>
  <si>
    <t>95,80</t>
  </si>
  <si>
    <t xml:space="preserve">Varava I. </t>
  </si>
  <si>
    <t>Omarov Magomed</t>
  </si>
  <si>
    <t>Masters 50-59 (30.05.1963)/57</t>
  </si>
  <si>
    <t>Borisov Aleksandr</t>
  </si>
  <si>
    <t>Masters 50-59 (06.12.1969)/51</t>
  </si>
  <si>
    <t>97,40</t>
  </si>
  <si>
    <t>Yarkov Vasiliiy</t>
  </si>
  <si>
    <t>Masters 50-59 (20.06.1970)/50</t>
  </si>
  <si>
    <t>Voiytenko Vladimir</t>
  </si>
  <si>
    <t>Masters 60-69 (26.07.1956)/64</t>
  </si>
  <si>
    <t xml:space="preserve">Russia / Chita </t>
  </si>
  <si>
    <t xml:space="preserve">Khashpakov M. </t>
  </si>
  <si>
    <t>Mordvinov Sergeiy</t>
  </si>
  <si>
    <t>Open (26.08.1982)/38</t>
  </si>
  <si>
    <t xml:space="preserve">Russia / Schigry </t>
  </si>
  <si>
    <t xml:space="preserve">Milostnoiy S. </t>
  </si>
  <si>
    <t>Sasania Georgiiy</t>
  </si>
  <si>
    <t>Open (14.02.1993)/27</t>
  </si>
  <si>
    <t>Aliev Sakhib</t>
  </si>
  <si>
    <t>Open (29.11.1988)/32</t>
  </si>
  <si>
    <t>108,80</t>
  </si>
  <si>
    <t>Aksionov Kirill</t>
  </si>
  <si>
    <t>Koblik Dmitriiy</t>
  </si>
  <si>
    <t>Open (20.08.1993)/27</t>
  </si>
  <si>
    <t xml:space="preserve">Kovalenko A. </t>
  </si>
  <si>
    <t>Gruntov Viktor</t>
  </si>
  <si>
    <t>Masters 40-49 (27.05.1972)/48</t>
  </si>
  <si>
    <t>Shakhbanov Ismail</t>
  </si>
  <si>
    <t>Masters 40-49 (26.11.1971)/49</t>
  </si>
  <si>
    <t>102,20</t>
  </si>
  <si>
    <t>Bashkevich Maksim</t>
  </si>
  <si>
    <t>Masters 40-49 (02.09.1975)/45</t>
  </si>
  <si>
    <t>101,40</t>
  </si>
  <si>
    <t>Kireev Dmitriiy</t>
  </si>
  <si>
    <t>Masters 50-59 (25.08.1969)/51</t>
  </si>
  <si>
    <t>107,10</t>
  </si>
  <si>
    <t>Vasilev Viktor</t>
  </si>
  <si>
    <t>Masters 60-69 (09.02.1954)/66</t>
  </si>
  <si>
    <t>103,50</t>
  </si>
  <si>
    <t>Efipov Viktor</t>
  </si>
  <si>
    <t>Masters 60-69 (19.01.1956)/64</t>
  </si>
  <si>
    <t>105,30</t>
  </si>
  <si>
    <t xml:space="preserve">Russia / Velsk </t>
  </si>
  <si>
    <t>Geiydarli Elmin</t>
  </si>
  <si>
    <t>Junior (01.02.1998)/22</t>
  </si>
  <si>
    <t>Kildiushkin Daniil</t>
  </si>
  <si>
    <t>Junior (01.04.1997)/23</t>
  </si>
  <si>
    <t xml:space="preserve">Grechina I. </t>
  </si>
  <si>
    <t>Nachoev Asker</t>
  </si>
  <si>
    <t>Open (18.03.1982)/38</t>
  </si>
  <si>
    <t>111,60</t>
  </si>
  <si>
    <t>Altukhov Alekseiy</t>
  </si>
  <si>
    <t>Open (11.12.1984)/36</t>
  </si>
  <si>
    <t>116,60</t>
  </si>
  <si>
    <t>Nenartovich Dmitriiy</t>
  </si>
  <si>
    <t>Open (21.12.1987)/32</t>
  </si>
  <si>
    <t>118,30</t>
  </si>
  <si>
    <t>Malkov Oleg</t>
  </si>
  <si>
    <t>Masters 40-49 (27.02.1980)/40</t>
  </si>
  <si>
    <t>120,60</t>
  </si>
  <si>
    <t xml:space="preserve">Burlakov M. </t>
  </si>
  <si>
    <t>Zhukov Sergeiy</t>
  </si>
  <si>
    <t>Masters 40-49 (06.08.1973)/47</t>
  </si>
  <si>
    <t xml:space="preserve">Khadzhinov R. </t>
  </si>
  <si>
    <t>Usoltsev Evgeniiy</t>
  </si>
  <si>
    <t>Masters 50-59 (01.02.1970)/50</t>
  </si>
  <si>
    <t>121,50</t>
  </si>
  <si>
    <t xml:space="preserve">Pakhomov S. </t>
  </si>
  <si>
    <t>Perov Pavel</t>
  </si>
  <si>
    <t>Masters 50-59 (06.08.1966)/54</t>
  </si>
  <si>
    <t>115,70</t>
  </si>
  <si>
    <t>Yakovenko Vladimir</t>
  </si>
  <si>
    <t>Masters 60-69 (27.03.1959)/61</t>
  </si>
  <si>
    <t>112,40</t>
  </si>
  <si>
    <t xml:space="preserve">Russia / Mozhaiysk </t>
  </si>
  <si>
    <t xml:space="preserve">Savin K. </t>
  </si>
  <si>
    <t>Shaulskiiy Vitaliiy</t>
  </si>
  <si>
    <t>Masters 40-49 (02.06.1973)/47</t>
  </si>
  <si>
    <t>132,00</t>
  </si>
  <si>
    <t xml:space="preserve">Russia / Azov </t>
  </si>
  <si>
    <t>Kanygin Sergeiy</t>
  </si>
  <si>
    <t>Masters 50-59 (24.01.1966)/54</t>
  </si>
  <si>
    <t>138,80</t>
  </si>
  <si>
    <t>205,5</t>
  </si>
  <si>
    <t>Trofimov Boris</t>
  </si>
  <si>
    <t>Open (21.03.1972)/48</t>
  </si>
  <si>
    <t>159,50</t>
  </si>
  <si>
    <t xml:space="preserve">Russia / Gukovo </t>
  </si>
  <si>
    <t xml:space="preserve">Solovev V. </t>
  </si>
  <si>
    <t>Masters 40-49 (21.03.1972)/48</t>
  </si>
  <si>
    <t xml:space="preserve">Result </t>
  </si>
  <si>
    <t>113,8830</t>
  </si>
  <si>
    <t>100,4828</t>
  </si>
  <si>
    <t>94,8038</t>
  </si>
  <si>
    <t>125,8495</t>
  </si>
  <si>
    <t>109,1550</t>
  </si>
  <si>
    <t>108,7370</t>
  </si>
  <si>
    <t>141,6720</t>
  </si>
  <si>
    <t>132,7500</t>
  </si>
  <si>
    <t>140+</t>
  </si>
  <si>
    <t>127,5263</t>
  </si>
  <si>
    <t>157,9548</t>
  </si>
  <si>
    <t>142,5425</t>
  </si>
  <si>
    <t>142,0642</t>
  </si>
  <si>
    <t>VI World Championship
WRPF Bench Press Raw
Russia / Moscow, December 17-20, 2020</t>
  </si>
  <si>
    <t>Mochalova Nadezhda</t>
  </si>
  <si>
    <t>Teens 14-16 (22.02.2007)/13</t>
  </si>
  <si>
    <t>47,40</t>
  </si>
  <si>
    <t>71,0</t>
  </si>
  <si>
    <t xml:space="preserve">Mochalov I. </t>
  </si>
  <si>
    <t>Kurmanaeva Zukhra</t>
  </si>
  <si>
    <t>Open (02.12.1995)/25</t>
  </si>
  <si>
    <t xml:space="preserve">Kyrgyzstan / Bishkek </t>
  </si>
  <si>
    <t>Glazkova Marina</t>
  </si>
  <si>
    <t>Masters 40-49 (08.02.1980)/40</t>
  </si>
  <si>
    <t xml:space="preserve">Pys D. </t>
  </si>
  <si>
    <t>Evstigneeva Valeriya</t>
  </si>
  <si>
    <t>Open (11.05.1993)/27</t>
  </si>
  <si>
    <t>59,40</t>
  </si>
  <si>
    <t xml:space="preserve">Akhmetyanova A. </t>
  </si>
  <si>
    <t>Gunaeva Ekaterina</t>
  </si>
  <si>
    <t>Masters 40-49 (18.02.1979)/41</t>
  </si>
  <si>
    <t xml:space="preserve">Kozyrev O. </t>
  </si>
  <si>
    <t>Bolshakova Aleksandra</t>
  </si>
  <si>
    <t>Junior (10.05.2000)/20</t>
  </si>
  <si>
    <t>67,30</t>
  </si>
  <si>
    <t>Rumyantseva Svetlana</t>
  </si>
  <si>
    <t>Open (16.05.1988)/32</t>
  </si>
  <si>
    <t>67,10</t>
  </si>
  <si>
    <t xml:space="preserve">Rumyantsev S. </t>
  </si>
  <si>
    <t>Varakina Ekaterina</t>
  </si>
  <si>
    <t>Open (14.07.1995)/25</t>
  </si>
  <si>
    <t>66,10</t>
  </si>
  <si>
    <t xml:space="preserve">Russia / Zelenodolsk </t>
  </si>
  <si>
    <t>Vlasova Nadezhda</t>
  </si>
  <si>
    <t>Open (24.01.1982)/38</t>
  </si>
  <si>
    <t xml:space="preserve">Kalita I. </t>
  </si>
  <si>
    <t>Mukhin Vsevolod</t>
  </si>
  <si>
    <t>Teens 14-16 (16.01.2009)/11</t>
  </si>
  <si>
    <t>44,5</t>
  </si>
  <si>
    <t>Tsokolov Artiom</t>
  </si>
  <si>
    <t>Teens 14-16 (09.10.2007)/13</t>
  </si>
  <si>
    <t>53,30</t>
  </si>
  <si>
    <t xml:space="preserve">Russia / Stavropol </t>
  </si>
  <si>
    <t xml:space="preserve">Stupnikov R. </t>
  </si>
  <si>
    <t>Badalov Ramiz</t>
  </si>
  <si>
    <t>57,50</t>
  </si>
  <si>
    <t xml:space="preserve">Saberov P. </t>
  </si>
  <si>
    <t>Zhilin Andreiy</t>
  </si>
  <si>
    <t>Open (05.04.1983)/37</t>
  </si>
  <si>
    <t>Maiyorov Vladislav</t>
  </si>
  <si>
    <t>Junior (11.03.1998)/22</t>
  </si>
  <si>
    <t>73,80</t>
  </si>
  <si>
    <t>Kritskiiy Anton</t>
  </si>
  <si>
    <t>Junior (18.12.2000)/20</t>
  </si>
  <si>
    <t xml:space="preserve">Russia / Stariy Oskol </t>
  </si>
  <si>
    <t xml:space="preserve">Lysenko D. </t>
  </si>
  <si>
    <t>Kuimov Denis</t>
  </si>
  <si>
    <t xml:space="preserve">Russia / Krymsk </t>
  </si>
  <si>
    <t xml:space="preserve">Mekhtiev R. </t>
  </si>
  <si>
    <t>Sidorkin Dmitriiy</t>
  </si>
  <si>
    <t>Open (04.02.1993)/27</t>
  </si>
  <si>
    <t xml:space="preserve">Sudzhyan A. </t>
  </si>
  <si>
    <t>Antropov Aleksandr</t>
  </si>
  <si>
    <t>Masters 50-59 (14.03.1969)/51</t>
  </si>
  <si>
    <t xml:space="preserve">Russia / Vsevolozhsk </t>
  </si>
  <si>
    <t xml:space="preserve">Fomichev K. </t>
  </si>
  <si>
    <t>Kozlov Valentin</t>
  </si>
  <si>
    <t>Masters 70-79 (08.08.1943)/77</t>
  </si>
  <si>
    <t>72,80</t>
  </si>
  <si>
    <t>Khachatryan Robert</t>
  </si>
  <si>
    <t>Junior (02.02.2000)/20</t>
  </si>
  <si>
    <t>78,80</t>
  </si>
  <si>
    <t xml:space="preserve">Russia / Murom </t>
  </si>
  <si>
    <t>Kiselev Kirill</t>
  </si>
  <si>
    <t>Shakhbazyan David</t>
  </si>
  <si>
    <t>Open (30.08.1994)/26</t>
  </si>
  <si>
    <t>81,50</t>
  </si>
  <si>
    <t>Andreev T.</t>
  </si>
  <si>
    <t>Shulyak Ivan</t>
  </si>
  <si>
    <t>Open (25.04.1989)/31</t>
  </si>
  <si>
    <t xml:space="preserve">Russia / Vladivostok </t>
  </si>
  <si>
    <t>Dolzhenko Nikita</t>
  </si>
  <si>
    <t>Open (22.03.1992)/28</t>
  </si>
  <si>
    <t xml:space="preserve">Russia / Yasnogorsk </t>
  </si>
  <si>
    <t>Gorshkov Anton</t>
  </si>
  <si>
    <t>Open (25.03.1988)/32</t>
  </si>
  <si>
    <t>80,90</t>
  </si>
  <si>
    <t>Makarov Igor</t>
  </si>
  <si>
    <t>Open (25.04.1982)/38</t>
  </si>
  <si>
    <t>Korzh Alekseiy</t>
  </si>
  <si>
    <t>Open (20.04.1991)/29</t>
  </si>
  <si>
    <t>79,70</t>
  </si>
  <si>
    <t>Vorobev Evgeniiy</t>
  </si>
  <si>
    <t>Open (25.06.1984)/36</t>
  </si>
  <si>
    <t>79,90</t>
  </si>
  <si>
    <t xml:space="preserve">Elfimov S. </t>
  </si>
  <si>
    <t>Belkov Igor</t>
  </si>
  <si>
    <t>Open (08.03.1983)/37</t>
  </si>
  <si>
    <t xml:space="preserve">Russia / Tambov </t>
  </si>
  <si>
    <t>Kovalev Anatoliiy</t>
  </si>
  <si>
    <t>Masters 80+ (11.08.1936)/84</t>
  </si>
  <si>
    <t>Pereezchikov Vyacheslav</t>
  </si>
  <si>
    <t>Junior (06.12.2000)/20</t>
  </si>
  <si>
    <t xml:space="preserve">Russia / Kaluga </t>
  </si>
  <si>
    <t>210,5</t>
  </si>
  <si>
    <t>Pytkin Maksim</t>
  </si>
  <si>
    <t>Open (30.03.1992)/28</t>
  </si>
  <si>
    <t>Sobtsov Dmitriiy</t>
  </si>
  <si>
    <t>Open (04.06.1991)/29</t>
  </si>
  <si>
    <t>Panfilov Maksim</t>
  </si>
  <si>
    <t>Open (24.01.1992)/28</t>
  </si>
  <si>
    <t xml:space="preserve">Russia / Kemerovo </t>
  </si>
  <si>
    <t>Generalov Dmitriiy</t>
  </si>
  <si>
    <t>Open (05.04.1985)/35</t>
  </si>
  <si>
    <t xml:space="preserve">Russia / Protvino </t>
  </si>
  <si>
    <t>Mytsev Ivan</t>
  </si>
  <si>
    <t>Open (07.11.1988)/32</t>
  </si>
  <si>
    <t>89,70</t>
  </si>
  <si>
    <t xml:space="preserve">Russia / Unecha </t>
  </si>
  <si>
    <t>Kutasov Vyacheslav</t>
  </si>
  <si>
    <t>Open (21.08.1991)/29</t>
  </si>
  <si>
    <t xml:space="preserve">Levin A. </t>
  </si>
  <si>
    <t>Vavilov Sergeiy</t>
  </si>
  <si>
    <t>Open (26.01.1996)/24</t>
  </si>
  <si>
    <t>Buiynov Vitaliiy</t>
  </si>
  <si>
    <t>Open (05.02.1982)/38</t>
  </si>
  <si>
    <t>Vaniev Dzhemal</t>
  </si>
  <si>
    <t>Masters 40-49 (26.12.1979)/40</t>
  </si>
  <si>
    <t>Kabishov Sergeiy</t>
  </si>
  <si>
    <t>Masters 40-49 (23.04.1974)/46</t>
  </si>
  <si>
    <t>Rumyantsev Sergeiy</t>
  </si>
  <si>
    <t>Masters 50-59 (28.08.1965)/55</t>
  </si>
  <si>
    <t>86,70</t>
  </si>
  <si>
    <t xml:space="preserve">Rumyantseva S. </t>
  </si>
  <si>
    <t>Bazhenov Valeriiy</t>
  </si>
  <si>
    <t>Masters 60-69 (16.08.1960)/60</t>
  </si>
  <si>
    <t>85,00</t>
  </si>
  <si>
    <t xml:space="preserve">Russia / Glazov </t>
  </si>
  <si>
    <t>Arutiunov Tigran</t>
  </si>
  <si>
    <t>Open (02.07.1993)/27</t>
  </si>
  <si>
    <t>95,70</t>
  </si>
  <si>
    <t xml:space="preserve"> </t>
  </si>
  <si>
    <t>Pantiushin Konstantin</t>
  </si>
  <si>
    <t>Open (15.05.1989)/31</t>
  </si>
  <si>
    <t xml:space="preserve">Golovinskiiy D. </t>
  </si>
  <si>
    <t>Timokhin Aleksandr</t>
  </si>
  <si>
    <t>Open (09.07.1985)/35</t>
  </si>
  <si>
    <t>Solntsev Ivan</t>
  </si>
  <si>
    <t>Open (25.03.1974)/46</t>
  </si>
  <si>
    <t xml:space="preserve">Russia / Vyborg </t>
  </si>
  <si>
    <t>Burtsev Nikita</t>
  </si>
  <si>
    <t>Open (21.06.1996)/24</t>
  </si>
  <si>
    <t>Andrievskiiy Anatoliiy</t>
  </si>
  <si>
    <t>Open (10.07.1996)/24</t>
  </si>
  <si>
    <t xml:space="preserve">Russia / Dzerzhinsk </t>
  </si>
  <si>
    <t>Bulatov Dmitriiy</t>
  </si>
  <si>
    <t>Open (22.10.1988)/32</t>
  </si>
  <si>
    <t>Klevannyiy Petr</t>
  </si>
  <si>
    <t>Open (11.11.1980)/40</t>
  </si>
  <si>
    <t>Bornyakov Dmitriiy</t>
  </si>
  <si>
    <t>Open (12.08.1981)/39</t>
  </si>
  <si>
    <t>Vabischevich Ivan</t>
  </si>
  <si>
    <t>Open (01.04.1991)/29</t>
  </si>
  <si>
    <t xml:space="preserve">Kobanov A. </t>
  </si>
  <si>
    <t>Siniukhin Alekseiy</t>
  </si>
  <si>
    <t>Open (22.07.1993)/27</t>
  </si>
  <si>
    <t>95,40</t>
  </si>
  <si>
    <t>Legchaev Roman</t>
  </si>
  <si>
    <t>Open (03.12.1995)/25</t>
  </si>
  <si>
    <t>95,20</t>
  </si>
  <si>
    <t>Bochaev Askhab</t>
  </si>
  <si>
    <t>Open (04.11.1992)/28</t>
  </si>
  <si>
    <t>96,70</t>
  </si>
  <si>
    <t xml:space="preserve">Russia / Urus-Martan </t>
  </si>
  <si>
    <t>Bespalov Aleksandr</t>
  </si>
  <si>
    <t>Masters 40-49 (07.01.1980)/40</t>
  </si>
  <si>
    <t>94,90</t>
  </si>
  <si>
    <t xml:space="preserve">Grakhov Iu. </t>
  </si>
  <si>
    <t>Masters 40-49 (25.03.1974)/46</t>
  </si>
  <si>
    <t>Matrosov Aleksandr</t>
  </si>
  <si>
    <t>Masters 40-49 (04.02.1972)/48</t>
  </si>
  <si>
    <t>Sergeev Igor</t>
  </si>
  <si>
    <t>Masters 50-59 (07.08.1966)/54</t>
  </si>
  <si>
    <t>Petrosyan Artur</t>
  </si>
  <si>
    <t>Masters 50-59 (23.02.1970)/50</t>
  </si>
  <si>
    <t>98,60</t>
  </si>
  <si>
    <t>Reshetov Nikolaiy</t>
  </si>
  <si>
    <t>Masters 60-69 (23.02.1959)/61</t>
  </si>
  <si>
    <t xml:space="preserve">Russia / Volzhskiiy </t>
  </si>
  <si>
    <t>Bondarev Evgeniiy</t>
  </si>
  <si>
    <t>Open (21.09.1985)/35</t>
  </si>
  <si>
    <t>107,90</t>
  </si>
  <si>
    <t>Popov Sergeiy</t>
  </si>
  <si>
    <t>Open (15.08.1995)/25</t>
  </si>
  <si>
    <t>101,70</t>
  </si>
  <si>
    <t xml:space="preserve">Russia / Novokuibyshevsk </t>
  </si>
  <si>
    <t>Tsyplov Sergeiy</t>
  </si>
  <si>
    <t>Open (15.09.1976)/44</t>
  </si>
  <si>
    <t>106,40</t>
  </si>
  <si>
    <t xml:space="preserve">Ponomarev I. </t>
  </si>
  <si>
    <t>Korolev Dmitriiy</t>
  </si>
  <si>
    <t>Open (25.03.1993)/27</t>
  </si>
  <si>
    <t>Zhikulin Valeriiy</t>
  </si>
  <si>
    <t>Open (20.06.1983)/37</t>
  </si>
  <si>
    <t>108,60</t>
  </si>
  <si>
    <t>Salpagarov Dzhandar</t>
  </si>
  <si>
    <t>Open (07.11.1989)/31</t>
  </si>
  <si>
    <t xml:space="preserve">Tarasevich Iu. </t>
  </si>
  <si>
    <t>Saburov Gennadiiy</t>
  </si>
  <si>
    <t>104,30</t>
  </si>
  <si>
    <t xml:space="preserve">Russia / Magadan </t>
  </si>
  <si>
    <t xml:space="preserve">Klimov V. </t>
  </si>
  <si>
    <t>Panchev Anton</t>
  </si>
  <si>
    <t>Open (05.10.1987)/33</t>
  </si>
  <si>
    <t>Raevskiiy Evgeniiy</t>
  </si>
  <si>
    <t>Open (31.12.1980)/39</t>
  </si>
  <si>
    <t>Prostyakov Kirill</t>
  </si>
  <si>
    <t>Open (24.06.1985)/35</t>
  </si>
  <si>
    <t>109,20</t>
  </si>
  <si>
    <t xml:space="preserve">Melen A. </t>
  </si>
  <si>
    <t>Masters 40-49 (15.09.1976)/44</t>
  </si>
  <si>
    <t>Murashov Maksim</t>
  </si>
  <si>
    <t>Masters 40-49 (19.09.1979)/41</t>
  </si>
  <si>
    <t>107,60</t>
  </si>
  <si>
    <t>Aleksandrov Evgeniiy</t>
  </si>
  <si>
    <t>Masters 40-49 (28.12.1974)/45</t>
  </si>
  <si>
    <t>109,80</t>
  </si>
  <si>
    <t>Shomakhov Albert</t>
  </si>
  <si>
    <t>Masters 50-59 (08.06.1968)/52</t>
  </si>
  <si>
    <t>107,50</t>
  </si>
  <si>
    <t>Zyablov Nikolaiy</t>
  </si>
  <si>
    <t>Masters 60-69 (05.04.1958)/62</t>
  </si>
  <si>
    <t xml:space="preserve">Razumov A. </t>
  </si>
  <si>
    <t>Zhemarkin Dmitriiy</t>
  </si>
  <si>
    <t>Junior (29.01.1997)/23</t>
  </si>
  <si>
    <t>122,70</t>
  </si>
  <si>
    <t>Kazak Vitaliiy</t>
  </si>
  <si>
    <t>Junior (24.05.2000)/20</t>
  </si>
  <si>
    <t>115,00</t>
  </si>
  <si>
    <t xml:space="preserve">Moldova / Kishinev </t>
  </si>
  <si>
    <t>Shvedov Anton</t>
  </si>
  <si>
    <t>Junior (10.01.2000)/20</t>
  </si>
  <si>
    <t>120,50</t>
  </si>
  <si>
    <t>Chilikin Alekseiy</t>
  </si>
  <si>
    <t>Open (21.01.1978)/42</t>
  </si>
  <si>
    <t>124,10</t>
  </si>
  <si>
    <t xml:space="preserve">Musaev A. </t>
  </si>
  <si>
    <t>Kuzin Denis</t>
  </si>
  <si>
    <t>Open (18.01.1989)/31</t>
  </si>
  <si>
    <t>116,50</t>
  </si>
  <si>
    <t xml:space="preserve">Russia / Sheksna </t>
  </si>
  <si>
    <t>Popov Aleksandr</t>
  </si>
  <si>
    <t>Open (14.05.1983)/37</t>
  </si>
  <si>
    <t>116,80</t>
  </si>
  <si>
    <t xml:space="preserve">Fotin A. </t>
  </si>
  <si>
    <t>Petrov Lev</t>
  </si>
  <si>
    <t>Open (07.01.1974)/46</t>
  </si>
  <si>
    <t>Anikanov Ivan</t>
  </si>
  <si>
    <t>Open (23.07.1982)/38</t>
  </si>
  <si>
    <t>117,20</t>
  </si>
  <si>
    <t xml:space="preserve"> Russia / Saint Petersburg </t>
  </si>
  <si>
    <t xml:space="preserve">Timofeev O. </t>
  </si>
  <si>
    <t>Iurashevich Anton</t>
  </si>
  <si>
    <t>Open (24.05.1981)/39</t>
  </si>
  <si>
    <t>119,70</t>
  </si>
  <si>
    <t xml:space="preserve">Lisiutin M. </t>
  </si>
  <si>
    <t>Stolpovskikh Aleksandr</t>
  </si>
  <si>
    <t>Open (14.01.1996)/24</t>
  </si>
  <si>
    <t>122,60</t>
  </si>
  <si>
    <t>Moiseev Aleksandr</t>
  </si>
  <si>
    <t>Masters 40-49 (11.11.1972)/48</t>
  </si>
  <si>
    <t>Masters 40-49 (07.01.1974)/46</t>
  </si>
  <si>
    <t>Klimov Viktor</t>
  </si>
  <si>
    <t>Masters 40-49 (10.03.1975)/45</t>
  </si>
  <si>
    <t>Peshko Vladimir</t>
  </si>
  <si>
    <t>Masters 50-59 (12.02.1970)/50</t>
  </si>
  <si>
    <t>116,70</t>
  </si>
  <si>
    <t xml:space="preserve">Abdulin M. </t>
  </si>
  <si>
    <t>Zherelov Alekseiy</t>
  </si>
  <si>
    <t>Open (16.09.1990)/30</t>
  </si>
  <si>
    <t>133,50</t>
  </si>
  <si>
    <t xml:space="preserve">Russia / Kineshma </t>
  </si>
  <si>
    <t>Mandrik Sergeiy</t>
  </si>
  <si>
    <t>Open (05.08.1993)/27</t>
  </si>
  <si>
    <t>130,50</t>
  </si>
  <si>
    <t>Makhmudov Arif</t>
  </si>
  <si>
    <t>Open (31.07.1962)/58</t>
  </si>
  <si>
    <t>139,20</t>
  </si>
  <si>
    <t>Masters 50-59 (31.07.1962)/58</t>
  </si>
  <si>
    <t>Chubarov Vladimir</t>
  </si>
  <si>
    <t>Masters 50-59 (03.04.1964)/56</t>
  </si>
  <si>
    <t>129,60</t>
  </si>
  <si>
    <t>Gorbunov Aleksandr</t>
  </si>
  <si>
    <t>Open (15.09.1986)/34</t>
  </si>
  <si>
    <t>154,40</t>
  </si>
  <si>
    <t>122,1125</t>
  </si>
  <si>
    <t>112,7500</t>
  </si>
  <si>
    <t>111,0480</t>
  </si>
  <si>
    <t>134,0243</t>
  </si>
  <si>
    <t>125,8620</t>
  </si>
  <si>
    <t>120,5782</t>
  </si>
  <si>
    <t>150,3500</t>
  </si>
  <si>
    <t>149,2547</t>
  </si>
  <si>
    <t>148,0250</t>
  </si>
  <si>
    <t>163,1386</t>
  </si>
  <si>
    <t>160,8183</t>
  </si>
  <si>
    <t>144,2395</t>
  </si>
  <si>
    <t>VI World Championship
WEPF Bench Press Single Ply Doping Tested
Russia / Moscow, December 17-20, 2020</t>
  </si>
  <si>
    <t>Krasnobaev Daniil</t>
  </si>
  <si>
    <t>Open (18.05.1981)/39</t>
  </si>
  <si>
    <t xml:space="preserve">Krovikov A. </t>
  </si>
  <si>
    <t>Pantiukhin Artiom</t>
  </si>
  <si>
    <t>Junior (23.11.2000)/20</t>
  </si>
  <si>
    <t>78,60</t>
  </si>
  <si>
    <t>Kochnev Maksim</t>
  </si>
  <si>
    <t>Open (05.03.1990)/30</t>
  </si>
  <si>
    <t xml:space="preserve">Kulikov M. </t>
  </si>
  <si>
    <t>VI World Championship
WEPF Bench Press Single Ply
Russia / Moscow, December 17-20, 2020</t>
  </si>
  <si>
    <t>Stepanov Vladimir</t>
  </si>
  <si>
    <t>Open (27.10.1994)/26</t>
  </si>
  <si>
    <t>Chugurov Sergeiy</t>
  </si>
  <si>
    <t>Open (22.06.1993)/27</t>
  </si>
  <si>
    <t>Zemerev Ivan</t>
  </si>
  <si>
    <t>Open (14.01.1990)/30</t>
  </si>
  <si>
    <t xml:space="preserve">Russia / Slantsy </t>
  </si>
  <si>
    <t>Konchakov Vladimir</t>
  </si>
  <si>
    <t>Open (25.05.1973)/47</t>
  </si>
  <si>
    <t>Masters 40-49 (25.05.1973)/47</t>
  </si>
  <si>
    <t>Nekrasov Marat</t>
  </si>
  <si>
    <t>Open (14.08.1990)/30</t>
  </si>
  <si>
    <t>105,00</t>
  </si>
  <si>
    <t>VI World Championship
WEPF Bench Press Multi Ply Doping Tested
Russia / Moscow, December 17-20, 2020</t>
  </si>
  <si>
    <t>Kirillov Anatoliiy</t>
  </si>
  <si>
    <t>Open (08.09.1981)/39</t>
  </si>
  <si>
    <t>83,00</t>
  </si>
  <si>
    <t>Grigorev Denis</t>
  </si>
  <si>
    <t>Open (07.08.1982)/38</t>
  </si>
  <si>
    <t>VI World Championship
WEPF Bench Press Multi Ply
Russia / Moscow, December 17-20, 2020</t>
  </si>
  <si>
    <t>Yakush Sergeiy</t>
  </si>
  <si>
    <t>Open (10.03.1995)/25</t>
  </si>
  <si>
    <t>93,40</t>
  </si>
  <si>
    <t xml:space="preserve">Russia / Arsentiev </t>
  </si>
  <si>
    <t>Dudinets Andreiy</t>
  </si>
  <si>
    <t>Open (02.06.1991)/29</t>
  </si>
  <si>
    <t>93,00</t>
  </si>
  <si>
    <t>VI World Championship
WEPF Bench Press Soft-equipment (1 loop) Doping Tested
Russia / Moscow, December 17-20, 2020</t>
  </si>
  <si>
    <t>Gloss</t>
  </si>
  <si>
    <t>Alkova Diana</t>
  </si>
  <si>
    <t>Teens 17-19 (25.08.2001)/19</t>
  </si>
  <si>
    <t>55,90</t>
  </si>
  <si>
    <t xml:space="preserve">Pozdnyakov V. </t>
  </si>
  <si>
    <t>Bondareva Ekaterina</t>
  </si>
  <si>
    <t>Open (10.04.1983)/37</t>
  </si>
  <si>
    <t>56,00</t>
  </si>
  <si>
    <t xml:space="preserve">Bystrova Ya. </t>
  </si>
  <si>
    <t>Khuzin Rinat</t>
  </si>
  <si>
    <t>Masters 50-59 (14.06.1969)/51</t>
  </si>
  <si>
    <t xml:space="preserve">Vasilenko D. </t>
  </si>
  <si>
    <t>Artemov Dmitriiy</t>
  </si>
  <si>
    <t>Masters 40-49 (14.10.1975)/45</t>
  </si>
  <si>
    <t>78,40</t>
  </si>
  <si>
    <t xml:space="preserve">Russia / Prokopievsk </t>
  </si>
  <si>
    <t xml:space="preserve">Tiulenev A. </t>
  </si>
  <si>
    <t>Evdokimov Ivan</t>
  </si>
  <si>
    <t>Masters 50-59 (24.02.1964)/56</t>
  </si>
  <si>
    <t>88,20</t>
  </si>
  <si>
    <t>Li Vladimir</t>
  </si>
  <si>
    <t>Masters 60-69 (16.10.1951)/69</t>
  </si>
  <si>
    <t>Tolstov Dmitriiy</t>
  </si>
  <si>
    <t>Open (26.10.1973)/47</t>
  </si>
  <si>
    <t>99,90</t>
  </si>
  <si>
    <t xml:space="preserve">Russia / Kashira </t>
  </si>
  <si>
    <t xml:space="preserve">EgorPointsn A. </t>
  </si>
  <si>
    <t>Masters 40-49 (26.10.1973)/47</t>
  </si>
  <si>
    <t>Salov Andreiy</t>
  </si>
  <si>
    <t>Masters 60-69 (18.10.1959)/61</t>
  </si>
  <si>
    <t>92,90</t>
  </si>
  <si>
    <t>Safin Maksim</t>
  </si>
  <si>
    <t>Open (24.06.1983)/37</t>
  </si>
  <si>
    <t>Kurotchenko Igor</t>
  </si>
  <si>
    <t>Masters 50-59 (20.03.1962)/58</t>
  </si>
  <si>
    <t xml:space="preserve"> Russia / Moscow </t>
  </si>
  <si>
    <t>Cheredin Vladimir</t>
  </si>
  <si>
    <t>Open (30.01.1971)/49</t>
  </si>
  <si>
    <t>124,50</t>
  </si>
  <si>
    <t xml:space="preserve">Belarus / Mozyr </t>
  </si>
  <si>
    <t>291,0</t>
  </si>
  <si>
    <t xml:space="preserve">Zalutskiiy R. </t>
  </si>
  <si>
    <t>Masters 40-49 (30.01.1971)/49</t>
  </si>
  <si>
    <t>Baiyramyan Armen</t>
  </si>
  <si>
    <t>Masters 50-59 (04.09.1970)/50</t>
  </si>
  <si>
    <t xml:space="preserve">Gloss </t>
  </si>
  <si>
    <t>182,3094</t>
  </si>
  <si>
    <t>173,4735</t>
  </si>
  <si>
    <t>164,3571</t>
  </si>
  <si>
    <t>VI World Championship
WEPF Bench Press Soft-equipment (1 loop)
Russia / Moscow, December 17-20, 2020</t>
  </si>
  <si>
    <t>Tografulina Tatyana</t>
  </si>
  <si>
    <t>Teens 17-19 (30.08.2001)/19</t>
  </si>
  <si>
    <t>65,80</t>
  </si>
  <si>
    <t xml:space="preserve">Khan D. </t>
  </si>
  <si>
    <t>Lazurenko Olga</t>
  </si>
  <si>
    <t>Open (05.09.1971)/49</t>
  </si>
  <si>
    <t>66,30</t>
  </si>
  <si>
    <t>Dorofeeva Elena</t>
  </si>
  <si>
    <t>Open (03.12.1981)/39</t>
  </si>
  <si>
    <t>77,20</t>
  </si>
  <si>
    <t xml:space="preserve">Russia / Losino-Petrovskiy </t>
  </si>
  <si>
    <t xml:space="preserve">Rasskazov G. </t>
  </si>
  <si>
    <t>Open (14.03.1969)/51</t>
  </si>
  <si>
    <t>GRecov Maksim</t>
  </si>
  <si>
    <t>Open (09.09.1985)/35</t>
  </si>
  <si>
    <t>Sushiiy Ilya</t>
  </si>
  <si>
    <t>Open (20.08.1984)/36</t>
  </si>
  <si>
    <t xml:space="preserve">Russia / Seversk </t>
  </si>
  <si>
    <t>Tukaev Anton</t>
  </si>
  <si>
    <t>Open (03.07.1990)/30</t>
  </si>
  <si>
    <t>Matveev Aleksandr</t>
  </si>
  <si>
    <t>Masters 40-49 (14.03.1974)/46</t>
  </si>
  <si>
    <t xml:space="preserve">Zhinkin V. </t>
  </si>
  <si>
    <t>Solovev-Novikov Alekseiy</t>
  </si>
  <si>
    <t>Masters 50-59 (08.07.1969)/51</t>
  </si>
  <si>
    <t>Iliushin Ruslan</t>
  </si>
  <si>
    <t>Open (25.02.1991)/29</t>
  </si>
  <si>
    <t xml:space="preserve">Russia / Orekhovo-Zuevo </t>
  </si>
  <si>
    <t>293,0</t>
  </si>
  <si>
    <t xml:space="preserve">Ushkov I. </t>
  </si>
  <si>
    <t>Silushin Pavel</t>
  </si>
  <si>
    <t>Open (17.09.1989)/31</t>
  </si>
  <si>
    <t>84,30</t>
  </si>
  <si>
    <t xml:space="preserve">Silushin A. </t>
  </si>
  <si>
    <t>Korolkov Alekseiy</t>
  </si>
  <si>
    <t>Open (02.04.1990)/30</t>
  </si>
  <si>
    <t xml:space="preserve">Pasechnik K. </t>
  </si>
  <si>
    <t>Svidin Andreiy</t>
  </si>
  <si>
    <t>Masters 40-49 (01.02.1980)/40</t>
  </si>
  <si>
    <t>Gorbachevskiiy Viktor</t>
  </si>
  <si>
    <t>Masters 50-59 (28.04.1969)/51</t>
  </si>
  <si>
    <t xml:space="preserve">Kozyrev O.v. </t>
  </si>
  <si>
    <t>Stasiuk Artem</t>
  </si>
  <si>
    <t>Open (30.05.1993)/27</t>
  </si>
  <si>
    <t>102,60</t>
  </si>
  <si>
    <t xml:space="preserve">Russia / Sevastopol </t>
  </si>
  <si>
    <t xml:space="preserve">Gorbunov Vyacheslav </t>
  </si>
  <si>
    <t>Plotnikov Alekseiy</t>
  </si>
  <si>
    <t>Open (16.06.1975)/45</t>
  </si>
  <si>
    <t>Terletskiiy Matveiy</t>
  </si>
  <si>
    <t>Open (22.04.1992)/28</t>
  </si>
  <si>
    <t xml:space="preserve">Potapov A. </t>
  </si>
  <si>
    <t>Puzyrev Denis</t>
  </si>
  <si>
    <t>Open (31.03.1974)/46</t>
  </si>
  <si>
    <t>107,00</t>
  </si>
  <si>
    <t xml:space="preserve">Grudev A. </t>
  </si>
  <si>
    <t>Masters 40-49 (16.06.1975)/45</t>
  </si>
  <si>
    <t>Samitov Aleksandr</t>
  </si>
  <si>
    <t>Masters 40-49 (30.04.1975)/45</t>
  </si>
  <si>
    <t>107,40</t>
  </si>
  <si>
    <t xml:space="preserve">Russia / Taldom </t>
  </si>
  <si>
    <t>Masters 40-49 (31.03.1974)/46</t>
  </si>
  <si>
    <t>Emelyanov Nikolaiy</t>
  </si>
  <si>
    <t>Open (30.08.1979)/41</t>
  </si>
  <si>
    <t>121,80</t>
  </si>
  <si>
    <t>Cherstvov Alekseiy</t>
  </si>
  <si>
    <t>Open (16.04.1981)/39</t>
  </si>
  <si>
    <t>120,00</t>
  </si>
  <si>
    <t>Masters 40-49 (30.08.1979)/41</t>
  </si>
  <si>
    <t>Seregin Dmitriiy</t>
  </si>
  <si>
    <t>Masters 40-49 (23.09.1979)/41</t>
  </si>
  <si>
    <t>118,80</t>
  </si>
  <si>
    <t>Shabalin Dmitriiy</t>
  </si>
  <si>
    <t>Masters 50-59 (19.01.1969)/51</t>
  </si>
  <si>
    <t>128,70</t>
  </si>
  <si>
    <t>192,1675</t>
  </si>
  <si>
    <t>178,3895</t>
  </si>
  <si>
    <t>174,0255</t>
  </si>
  <si>
    <t>219,7220</t>
  </si>
  <si>
    <t>194,0892</t>
  </si>
  <si>
    <t>183,9053</t>
  </si>
  <si>
    <t>VI World Championship
WEPF  Bench Press Soft-equipment (2-3 loops) Doping Tested
Russia / Moscow, December 17-20, 2020</t>
  </si>
  <si>
    <t>Starodubtsev Evgeniiy</t>
  </si>
  <si>
    <t>251,0</t>
  </si>
  <si>
    <t>Suvorov Iuriiy</t>
  </si>
  <si>
    <t>Masters 50-59 (22.11.1965)/55</t>
  </si>
  <si>
    <t xml:space="preserve">Krylov M. </t>
  </si>
  <si>
    <t>Sukharev Andreiy</t>
  </si>
  <si>
    <t>Open (22.07.1974)/46</t>
  </si>
  <si>
    <t>106,50</t>
  </si>
  <si>
    <t>375,0</t>
  </si>
  <si>
    <t>385,0</t>
  </si>
  <si>
    <t>Sukharev Kirill</t>
  </si>
  <si>
    <t>Open (21.12.1993)/26</t>
  </si>
  <si>
    <t>342,5</t>
  </si>
  <si>
    <t xml:space="preserve">Sukharev A. </t>
  </si>
  <si>
    <t>Garazha Iuriiy</t>
  </si>
  <si>
    <t>Open (02.06.1982)/38</t>
  </si>
  <si>
    <t>107,80</t>
  </si>
  <si>
    <t xml:space="preserve">Russia / Arkhangelsk </t>
  </si>
  <si>
    <t>Masters 40-49 (22.07.1974)/46</t>
  </si>
  <si>
    <t>Kuznetsov Evgeniiy</t>
  </si>
  <si>
    <t>Masters 40-49 (22.09.1978)/42</t>
  </si>
  <si>
    <t xml:space="preserve">Grigorev D. </t>
  </si>
  <si>
    <t>390,0</t>
  </si>
  <si>
    <t>400,0</t>
  </si>
  <si>
    <t>VI World Championship
WEPF Bench Press Soft-equipment (2-3 loops)
Russia / Moscow, December 17-20, 2020</t>
  </si>
  <si>
    <t xml:space="preserve">Own bw </t>
  </si>
  <si>
    <t>Levin Aleksandr</t>
  </si>
  <si>
    <t>Open (07.04.1988)/32</t>
  </si>
  <si>
    <t xml:space="preserve">Vasilev E. </t>
  </si>
  <si>
    <t>Volkov Alekseiy</t>
  </si>
  <si>
    <t>Open (03.05.1985)/35</t>
  </si>
  <si>
    <t>77,10</t>
  </si>
  <si>
    <t>Kilin Roman</t>
  </si>
  <si>
    <t>Open (02.06.1998)/22</t>
  </si>
  <si>
    <t xml:space="preserve">Russia / Chaiykovskiy </t>
  </si>
  <si>
    <t>Akulich Aleksandr</t>
  </si>
  <si>
    <t>Open (17.11.1981)/39</t>
  </si>
  <si>
    <t>355,0</t>
  </si>
  <si>
    <t>365,0</t>
  </si>
  <si>
    <t>Bespalikov Valeriiy</t>
  </si>
  <si>
    <t>Open (07.04.1981)/39</t>
  </si>
  <si>
    <t xml:space="preserve">Serbin A. </t>
  </si>
  <si>
    <t>Evteev Alekseiy</t>
  </si>
  <si>
    <t>Open (08.08.1994)/26</t>
  </si>
  <si>
    <t xml:space="preserve">Saiydentsal O. </t>
  </si>
  <si>
    <t>Semenov Roman</t>
  </si>
  <si>
    <t>Open (12.11.1979)/41</t>
  </si>
  <si>
    <t>101,10</t>
  </si>
  <si>
    <t>Piskarev Aleksandr</t>
  </si>
  <si>
    <t>Open (02.09.1985)/35</t>
  </si>
  <si>
    <t>105,60</t>
  </si>
  <si>
    <t xml:space="preserve">Mamedov E. </t>
  </si>
  <si>
    <t>Vasilenko Dmitriiy</t>
  </si>
  <si>
    <t>Open (03.06.1975)/45</t>
  </si>
  <si>
    <t>Obryvchenko Iuriiy</t>
  </si>
  <si>
    <t>Open (19.01.1987)/33</t>
  </si>
  <si>
    <t>Masters 40-49 (12.11.1979)/41</t>
  </si>
  <si>
    <t>Masters 40-49 (03.06.1975)/45</t>
  </si>
  <si>
    <t>Borisov Artur</t>
  </si>
  <si>
    <t>Junior (29.12.1997)/22</t>
  </si>
  <si>
    <t>116,20</t>
  </si>
  <si>
    <t>Rustamov Elshan</t>
  </si>
  <si>
    <t>Open (22.06.1987)/33</t>
  </si>
  <si>
    <t>118,20</t>
  </si>
  <si>
    <t xml:space="preserve">Nikolaev V. </t>
  </si>
  <si>
    <t xml:space="preserve">Telidis </t>
  </si>
  <si>
    <t>212,9813</t>
  </si>
  <si>
    <t>211,3842</t>
  </si>
  <si>
    <t>209,1305</t>
  </si>
  <si>
    <t>Open (12.06.1984)/36</t>
  </si>
  <si>
    <t xml:space="preserve">Russia / Furmanov </t>
  </si>
  <si>
    <t xml:space="preserve">Kovalev S. </t>
  </si>
  <si>
    <t>VI World Championship
WRPF Bench Press among the athletes with the physical features
Russia / Moscow, December 17-20, 2020</t>
  </si>
  <si>
    <t>Zaiytseva Taisya</t>
  </si>
  <si>
    <t>Masters 70-79 (30.08.1947)/73</t>
  </si>
  <si>
    <t xml:space="preserve">Russia / Vichuga </t>
  </si>
  <si>
    <t xml:space="preserve">Kovaliov S. </t>
  </si>
  <si>
    <t>Kosarev Evgeniiy</t>
  </si>
  <si>
    <t>Masters 50-59 (29.03.1961)/59</t>
  </si>
  <si>
    <t>63,40</t>
  </si>
  <si>
    <t>Gvozdev Georgiiy</t>
  </si>
  <si>
    <t>Masters 60-69 (26.04.1959)/61</t>
  </si>
  <si>
    <t xml:space="preserve"> Russia / Vichuga </t>
  </si>
  <si>
    <t>Grunichev Vyacheslav</t>
  </si>
  <si>
    <t>Masters 80+ (16.06.1939)/81</t>
  </si>
  <si>
    <t>77,60</t>
  </si>
  <si>
    <t>25,0</t>
  </si>
  <si>
    <t>Puryshev Ivan</t>
  </si>
  <si>
    <t>Masters 40-49 (03.05.1980)/40</t>
  </si>
  <si>
    <t>Dmitrichev Evgeniiy</t>
  </si>
  <si>
    <t>Masters 50-59 (18.12.1969)/51</t>
  </si>
  <si>
    <t xml:space="preserve">Gorev N. </t>
  </si>
  <si>
    <t>Aristov Oleg</t>
  </si>
  <si>
    <t>Masters 60-69 (08.03.1955)/65</t>
  </si>
  <si>
    <t xml:space="preserve">Russia / Kokhma </t>
  </si>
  <si>
    <t>Kuznetsov Vladimir</t>
  </si>
  <si>
    <t>Masters 70-79 (04.03.1945)/75</t>
  </si>
  <si>
    <t>95,90</t>
  </si>
  <si>
    <t>Kovalev Sergeiy</t>
  </si>
  <si>
    <t>Masters 50-59 (22.05.1969)/51</t>
  </si>
  <si>
    <t>102,40</t>
  </si>
  <si>
    <t>103,9902</t>
  </si>
  <si>
    <t>102,8445</t>
  </si>
  <si>
    <t>102,5641</t>
  </si>
  <si>
    <t xml:space="preserve">Russia / Kursk </t>
  </si>
  <si>
    <t>WRPF PRO World Championship
Bench Press Raw
Russia / Moscow, December 20, 2020</t>
  </si>
  <si>
    <t>Belousov Roman</t>
  </si>
  <si>
    <t>Open (19.10.1991)/29</t>
  </si>
  <si>
    <t>53,60</t>
  </si>
  <si>
    <t xml:space="preserve">Russia / Rossosh </t>
  </si>
  <si>
    <t xml:space="preserve">Lukyanov A. </t>
  </si>
  <si>
    <t>Milostnoiy Stanislav</t>
  </si>
  <si>
    <t>Open (19.01.1978)/42</t>
  </si>
  <si>
    <t>Sychev Sergeiy</t>
  </si>
  <si>
    <t>Open (01.12.1988)/32</t>
  </si>
  <si>
    <t>75,40</t>
  </si>
  <si>
    <t>Sapozhonkov Andreiy</t>
  </si>
  <si>
    <t>Open (26.06.1987)/33</t>
  </si>
  <si>
    <t>277,0</t>
  </si>
  <si>
    <t>Filimonov Oleg</t>
  </si>
  <si>
    <t>95,60</t>
  </si>
  <si>
    <t>Dyakonov Dmitriiy</t>
  </si>
  <si>
    <t>Open (07.07.1988)/32</t>
  </si>
  <si>
    <t>110,70</t>
  </si>
  <si>
    <t>Lisiutin Maksim</t>
  </si>
  <si>
    <t>Open (24.04.1985)/35</t>
  </si>
  <si>
    <t>Markelov Alekseiy</t>
  </si>
  <si>
    <t>Kolokhin Pavel</t>
  </si>
  <si>
    <t>Open (02.07.1984)/36</t>
  </si>
  <si>
    <t>139,40</t>
  </si>
  <si>
    <t xml:space="preserve">Russia / Sudogda </t>
  </si>
  <si>
    <t>277,5</t>
  </si>
  <si>
    <t>Klimov Pavel</t>
  </si>
  <si>
    <t>Open (27.03.1991)/29</t>
  </si>
  <si>
    <t>146,80</t>
  </si>
  <si>
    <t xml:space="preserve">Sarychev K. </t>
  </si>
  <si>
    <t>Kushkhov Aslanbek</t>
  </si>
  <si>
    <t>Open (16.05.1984)/36</t>
  </si>
  <si>
    <t>145,30</t>
  </si>
  <si>
    <t xml:space="preserve">Russia / Nartkala </t>
  </si>
  <si>
    <t xml:space="preserve">Chelabko V. </t>
  </si>
  <si>
    <t>176,8368</t>
  </si>
  <si>
    <t>167,4810</t>
  </si>
  <si>
    <t>166,4250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</si>
</sst>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color indexed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trike/>
      <sz val="10"/>
      <color theme="5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7E4B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42" fillId="0" borderId="15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2"/>
  <sheetViews>
    <sheetView zoomScalePageLayoutView="0" workbookViewId="0" topLeftCell="A28">
      <selection activeCell="O36" sqref="O36"/>
    </sheetView>
  </sheetViews>
  <sheetFormatPr defaultColWidth="9.125" defaultRowHeight="12.75"/>
  <cols>
    <col min="1" max="1" width="7.375" style="4" bestFit="1" customWidth="1"/>
    <col min="2" max="2" width="22.25390625" style="4" bestFit="1" customWidth="1"/>
    <col min="3" max="3" width="27.375" style="4" bestFit="1" customWidth="1"/>
    <col min="4" max="4" width="13.875" style="4" bestFit="1" customWidth="1"/>
    <col min="5" max="5" width="10.375" style="4" bestFit="1" customWidth="1"/>
    <col min="6" max="6" width="26.00390625" style="4" customWidth="1"/>
    <col min="7" max="10" width="5.375" style="5" customWidth="1"/>
    <col min="11" max="11" width="10.375" style="26" bestFit="1" customWidth="1"/>
    <col min="12" max="12" width="8.375" style="5" bestFit="1" customWidth="1"/>
    <col min="13" max="13" width="29.00390625" style="4" bestFit="1" customWidth="1"/>
    <col min="14" max="16384" width="9.125" style="3" customWidth="1"/>
  </cols>
  <sheetData>
    <row r="1" spans="1:13" s="2" customFormat="1" ht="28.5" customHeight="1">
      <c r="A1" s="56" t="s">
        <v>416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1.5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0</v>
      </c>
      <c r="B3" s="54" t="s">
        <v>1</v>
      </c>
      <c r="C3" s="66" t="s">
        <v>2</v>
      </c>
      <c r="D3" s="66" t="s">
        <v>3</v>
      </c>
      <c r="E3" s="48" t="s">
        <v>4</v>
      </c>
      <c r="F3" s="48" t="s">
        <v>5</v>
      </c>
      <c r="G3" s="48" t="s">
        <v>6</v>
      </c>
      <c r="H3" s="48"/>
      <c r="I3" s="48"/>
      <c r="J3" s="48"/>
      <c r="K3" s="46" t="s">
        <v>417</v>
      </c>
      <c r="L3" s="48" t="s">
        <v>7</v>
      </c>
      <c r="M3" s="50" t="s">
        <v>8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3">
        <v>1</v>
      </c>
      <c r="H4" s="43">
        <v>2</v>
      </c>
      <c r="I4" s="43">
        <v>3</v>
      </c>
      <c r="J4" s="43" t="s">
        <v>9</v>
      </c>
      <c r="K4" s="47"/>
      <c r="L4" s="49"/>
      <c r="M4" s="51"/>
    </row>
    <row r="5" spans="1:10" ht="15">
      <c r="A5" s="52" t="s">
        <v>10</v>
      </c>
      <c r="B5" s="52"/>
      <c r="C5" s="53"/>
      <c r="D5" s="53"/>
      <c r="E5" s="53"/>
      <c r="F5" s="53"/>
      <c r="G5" s="53"/>
      <c r="H5" s="53"/>
      <c r="I5" s="53"/>
      <c r="J5" s="53"/>
    </row>
    <row r="6" spans="1:13" ht="12.75">
      <c r="A6" s="7" t="s">
        <v>15</v>
      </c>
      <c r="B6" s="6" t="s">
        <v>418</v>
      </c>
      <c r="C6" s="6" t="s">
        <v>419</v>
      </c>
      <c r="D6" s="6" t="s">
        <v>12</v>
      </c>
      <c r="E6" s="6" t="str">
        <f>"1,4402"</f>
        <v>1,4402</v>
      </c>
      <c r="F6" s="6" t="s">
        <v>413</v>
      </c>
      <c r="G6" s="19" t="s">
        <v>30</v>
      </c>
      <c r="H6" s="19" t="s">
        <v>30</v>
      </c>
      <c r="I6" s="18" t="s">
        <v>30</v>
      </c>
      <c r="J6" s="7"/>
      <c r="K6" s="30" t="str">
        <f>"40,0"</f>
        <v>40,0</v>
      </c>
      <c r="L6" s="7" t="str">
        <f>"57,6080"</f>
        <v>57,6080</v>
      </c>
      <c r="M6" s="6" t="s">
        <v>53</v>
      </c>
    </row>
    <row r="7" ht="12.75">
      <c r="B7" s="4" t="s">
        <v>26</v>
      </c>
    </row>
    <row r="8" spans="1:10" ht="15">
      <c r="A8" s="45" t="s">
        <v>27</v>
      </c>
      <c r="B8" s="45"/>
      <c r="C8" s="45"/>
      <c r="D8" s="45"/>
      <c r="E8" s="45"/>
      <c r="F8" s="45"/>
      <c r="G8" s="45"/>
      <c r="H8" s="45"/>
      <c r="I8" s="45"/>
      <c r="J8" s="45"/>
    </row>
    <row r="9" spans="1:13" ht="12.75">
      <c r="A9" s="7" t="s">
        <v>15</v>
      </c>
      <c r="B9" s="6" t="s">
        <v>420</v>
      </c>
      <c r="C9" s="6" t="s">
        <v>421</v>
      </c>
      <c r="D9" s="6" t="s">
        <v>40</v>
      </c>
      <c r="E9" s="6" t="str">
        <f>"1,3594"</f>
        <v>1,3594</v>
      </c>
      <c r="F9" s="42" t="s">
        <v>422</v>
      </c>
      <c r="G9" s="19" t="s">
        <v>45</v>
      </c>
      <c r="H9" s="18" t="s">
        <v>45</v>
      </c>
      <c r="I9" s="19" t="s">
        <v>20</v>
      </c>
      <c r="J9" s="7"/>
      <c r="K9" s="30" t="str">
        <f>"50,0"</f>
        <v>50,0</v>
      </c>
      <c r="L9" s="7" t="str">
        <f>"67,9700"</f>
        <v>67,9700</v>
      </c>
      <c r="M9" s="6" t="s">
        <v>423</v>
      </c>
    </row>
    <row r="10" ht="12.75">
      <c r="B10" s="4" t="s">
        <v>26</v>
      </c>
    </row>
    <row r="11" spans="1:10" ht="15">
      <c r="A11" s="45" t="s">
        <v>54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3" ht="12.75">
      <c r="A12" s="9" t="s">
        <v>15</v>
      </c>
      <c r="B12" s="8" t="s">
        <v>424</v>
      </c>
      <c r="C12" s="8" t="s">
        <v>425</v>
      </c>
      <c r="D12" s="8" t="s">
        <v>426</v>
      </c>
      <c r="E12" s="8" t="str">
        <f>"1,2597"</f>
        <v>1,2597</v>
      </c>
      <c r="F12" s="8" t="s">
        <v>55</v>
      </c>
      <c r="G12" s="21" t="s">
        <v>57</v>
      </c>
      <c r="H12" s="20" t="s">
        <v>57</v>
      </c>
      <c r="I12" s="21" t="s">
        <v>34</v>
      </c>
      <c r="J12" s="9"/>
      <c r="K12" s="27" t="str">
        <f>"57,5"</f>
        <v>57,5</v>
      </c>
      <c r="L12" s="9" t="str">
        <f>"72,4327"</f>
        <v>72,4327</v>
      </c>
      <c r="M12" s="8" t="s">
        <v>427</v>
      </c>
    </row>
    <row r="13" spans="1:13" ht="12.75">
      <c r="A13" s="11" t="s">
        <v>39</v>
      </c>
      <c r="B13" s="10" t="s">
        <v>70</v>
      </c>
      <c r="C13" s="10" t="s">
        <v>71</v>
      </c>
      <c r="D13" s="10" t="s">
        <v>72</v>
      </c>
      <c r="E13" s="10" t="str">
        <f>"1,2466"</f>
        <v>1,2466</v>
      </c>
      <c r="F13" s="10" t="s">
        <v>73</v>
      </c>
      <c r="G13" s="23" t="s">
        <v>20</v>
      </c>
      <c r="H13" s="22" t="s">
        <v>20</v>
      </c>
      <c r="I13" s="23" t="s">
        <v>21</v>
      </c>
      <c r="J13" s="11"/>
      <c r="K13" s="29" t="str">
        <f>"52,5"</f>
        <v>52,5</v>
      </c>
      <c r="L13" s="11" t="str">
        <f>"65,4465"</f>
        <v>65,4465</v>
      </c>
      <c r="M13" s="10" t="s">
        <v>75</v>
      </c>
    </row>
    <row r="14" spans="1:13" ht="12.75">
      <c r="A14" s="11" t="s">
        <v>49</v>
      </c>
      <c r="B14" s="10" t="s">
        <v>428</v>
      </c>
      <c r="C14" s="10" t="s">
        <v>429</v>
      </c>
      <c r="D14" s="10" t="s">
        <v>430</v>
      </c>
      <c r="E14" s="10" t="str">
        <f>"1,2485"</f>
        <v>1,2485</v>
      </c>
      <c r="F14" s="10" t="s">
        <v>55</v>
      </c>
      <c r="G14" s="22" t="s">
        <v>56</v>
      </c>
      <c r="H14" s="23" t="s">
        <v>20</v>
      </c>
      <c r="I14" s="23" t="s">
        <v>20</v>
      </c>
      <c r="J14" s="11"/>
      <c r="K14" s="29" t="str">
        <f>"47,5"</f>
        <v>47,5</v>
      </c>
      <c r="L14" s="11" t="str">
        <f>"59,3037"</f>
        <v>59,3037</v>
      </c>
      <c r="M14" s="10" t="s">
        <v>431</v>
      </c>
    </row>
    <row r="15" spans="1:13" ht="12.75">
      <c r="A15" s="11" t="s">
        <v>65</v>
      </c>
      <c r="B15" s="10" t="s">
        <v>432</v>
      </c>
      <c r="C15" s="10" t="s">
        <v>433</v>
      </c>
      <c r="D15" s="10" t="s">
        <v>434</v>
      </c>
      <c r="E15" s="10" t="str">
        <f>"1,2616"</f>
        <v>1,2616</v>
      </c>
      <c r="F15" s="10" t="s">
        <v>161</v>
      </c>
      <c r="G15" s="23" t="s">
        <v>30</v>
      </c>
      <c r="H15" s="22" t="s">
        <v>30</v>
      </c>
      <c r="I15" s="23" t="s">
        <v>90</v>
      </c>
      <c r="J15" s="11"/>
      <c r="K15" s="29" t="str">
        <f>"40,0"</f>
        <v>40,0</v>
      </c>
      <c r="L15" s="11" t="str">
        <f>"50,4640"</f>
        <v>50,4640</v>
      </c>
      <c r="M15" s="10" t="s">
        <v>435</v>
      </c>
    </row>
    <row r="16" spans="1:13" ht="12.75">
      <c r="A16" s="11" t="s">
        <v>11</v>
      </c>
      <c r="B16" s="10" t="s">
        <v>436</v>
      </c>
      <c r="C16" s="10" t="s">
        <v>437</v>
      </c>
      <c r="D16" s="10" t="s">
        <v>438</v>
      </c>
      <c r="E16" s="10" t="str">
        <f>"1,2711"</f>
        <v>1,2711</v>
      </c>
      <c r="F16" s="10" t="s">
        <v>55</v>
      </c>
      <c r="G16" s="23" t="s">
        <v>57</v>
      </c>
      <c r="H16" s="23" t="s">
        <v>57</v>
      </c>
      <c r="I16" s="23" t="s">
        <v>57</v>
      </c>
      <c r="J16" s="11"/>
      <c r="K16" s="29">
        <v>0</v>
      </c>
      <c r="L16" s="11" t="str">
        <f>"0,0000"</f>
        <v>0,0000</v>
      </c>
      <c r="M16" s="10" t="s">
        <v>53</v>
      </c>
    </row>
    <row r="17" spans="1:13" ht="12.75">
      <c r="A17" s="11" t="s">
        <v>15</v>
      </c>
      <c r="B17" s="10" t="s">
        <v>439</v>
      </c>
      <c r="C17" s="10" t="s">
        <v>440</v>
      </c>
      <c r="D17" s="10" t="s">
        <v>67</v>
      </c>
      <c r="E17" s="10" t="str">
        <f>"1,2673"</f>
        <v>1,2673</v>
      </c>
      <c r="F17" s="41" t="s">
        <v>441</v>
      </c>
      <c r="G17" s="22" t="s">
        <v>83</v>
      </c>
      <c r="H17" s="23" t="s">
        <v>99</v>
      </c>
      <c r="I17" s="23" t="s">
        <v>99</v>
      </c>
      <c r="J17" s="11"/>
      <c r="K17" s="29" t="str">
        <f>"65,0"</f>
        <v>65,0</v>
      </c>
      <c r="L17" s="11" t="str">
        <f>"83,5277"</f>
        <v>83,5277</v>
      </c>
      <c r="M17" s="10" t="s">
        <v>53</v>
      </c>
    </row>
    <row r="18" spans="1:13" ht="12.75">
      <c r="A18" s="13" t="s">
        <v>11</v>
      </c>
      <c r="B18" s="12" t="s">
        <v>442</v>
      </c>
      <c r="C18" s="12" t="s">
        <v>443</v>
      </c>
      <c r="D18" s="12" t="s">
        <v>444</v>
      </c>
      <c r="E18" s="12" t="str">
        <f>"1,2730"</f>
        <v>1,2730</v>
      </c>
      <c r="F18" s="12" t="s">
        <v>55</v>
      </c>
      <c r="G18" s="25" t="s">
        <v>29</v>
      </c>
      <c r="H18" s="25" t="s">
        <v>29</v>
      </c>
      <c r="I18" s="25" t="s">
        <v>29</v>
      </c>
      <c r="J18" s="13"/>
      <c r="K18" s="28">
        <v>0</v>
      </c>
      <c r="L18" s="13" t="str">
        <f>"0,0000"</f>
        <v>0,0000</v>
      </c>
      <c r="M18" s="12" t="s">
        <v>445</v>
      </c>
    </row>
    <row r="19" ht="12.75">
      <c r="B19" s="4" t="s">
        <v>26</v>
      </c>
    </row>
    <row r="20" spans="1:10" ht="15">
      <c r="A20" s="45" t="s">
        <v>76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13" ht="12.75">
      <c r="A21" s="9" t="s">
        <v>15</v>
      </c>
      <c r="B21" s="8" t="s">
        <v>446</v>
      </c>
      <c r="C21" s="8" t="s">
        <v>447</v>
      </c>
      <c r="D21" s="8" t="s">
        <v>243</v>
      </c>
      <c r="E21" s="8" t="str">
        <f>"1,2019"</f>
        <v>1,2019</v>
      </c>
      <c r="F21" s="8" t="s">
        <v>155</v>
      </c>
      <c r="G21" s="20" t="s">
        <v>57</v>
      </c>
      <c r="H21" s="20" t="s">
        <v>35</v>
      </c>
      <c r="I21" s="21" t="s">
        <v>83</v>
      </c>
      <c r="J21" s="9"/>
      <c r="K21" s="27" t="str">
        <f>"62,5"</f>
        <v>62,5</v>
      </c>
      <c r="L21" s="9" t="str">
        <f>"75,1188"</f>
        <v>75,1188</v>
      </c>
      <c r="M21" s="8" t="s">
        <v>333</v>
      </c>
    </row>
    <row r="22" spans="1:13" ht="12.75">
      <c r="A22" s="11" t="s">
        <v>15</v>
      </c>
      <c r="B22" s="10" t="s">
        <v>77</v>
      </c>
      <c r="C22" s="10" t="s">
        <v>78</v>
      </c>
      <c r="D22" s="10" t="s">
        <v>79</v>
      </c>
      <c r="E22" s="10" t="str">
        <f>"1,1849"</f>
        <v>1,1849</v>
      </c>
      <c r="F22" s="10" t="s">
        <v>55</v>
      </c>
      <c r="G22" s="22" t="s">
        <v>18</v>
      </c>
      <c r="H22" s="22" t="s">
        <v>14</v>
      </c>
      <c r="I22" s="22" t="s">
        <v>22</v>
      </c>
      <c r="J22" s="11"/>
      <c r="K22" s="29" t="str">
        <f>"92,5"</f>
        <v>92,5</v>
      </c>
      <c r="L22" s="11" t="str">
        <f>"109,6033"</f>
        <v>109,6033</v>
      </c>
      <c r="M22" s="10" t="s">
        <v>53</v>
      </c>
    </row>
    <row r="23" spans="1:13" ht="12.75">
      <c r="A23" s="11" t="s">
        <v>39</v>
      </c>
      <c r="B23" s="10" t="s">
        <v>448</v>
      </c>
      <c r="C23" s="10" t="s">
        <v>449</v>
      </c>
      <c r="D23" s="10" t="s">
        <v>450</v>
      </c>
      <c r="E23" s="10" t="str">
        <f>"1,2194"</f>
        <v>1,2194</v>
      </c>
      <c r="F23" s="41" t="s">
        <v>451</v>
      </c>
      <c r="G23" s="22" t="s">
        <v>83</v>
      </c>
      <c r="H23" s="23" t="s">
        <v>84</v>
      </c>
      <c r="I23" s="22" t="s">
        <v>84</v>
      </c>
      <c r="J23" s="11"/>
      <c r="K23" s="29" t="str">
        <f>"72,5"</f>
        <v>72,5</v>
      </c>
      <c r="L23" s="11" t="str">
        <f>"88,4065"</f>
        <v>88,4065</v>
      </c>
      <c r="M23" s="10" t="s">
        <v>452</v>
      </c>
    </row>
    <row r="24" spans="1:13" ht="12.75">
      <c r="A24" s="11" t="s">
        <v>49</v>
      </c>
      <c r="B24" s="10" t="s">
        <v>453</v>
      </c>
      <c r="C24" s="10" t="s">
        <v>454</v>
      </c>
      <c r="D24" s="10" t="s">
        <v>455</v>
      </c>
      <c r="E24" s="10" t="str">
        <f>"1,2284"</f>
        <v>1,2284</v>
      </c>
      <c r="F24" s="10" t="s">
        <v>285</v>
      </c>
      <c r="G24" s="22" t="s">
        <v>21</v>
      </c>
      <c r="H24" s="22" t="s">
        <v>34</v>
      </c>
      <c r="I24" s="22" t="s">
        <v>83</v>
      </c>
      <c r="J24" s="11"/>
      <c r="K24" s="29" t="str">
        <f>"65,0"</f>
        <v>65,0</v>
      </c>
      <c r="L24" s="11" t="str">
        <f>"79,8460"</f>
        <v>79,8460</v>
      </c>
      <c r="M24" s="10" t="s">
        <v>456</v>
      </c>
    </row>
    <row r="25" spans="1:13" ht="12.75">
      <c r="A25" s="11" t="s">
        <v>65</v>
      </c>
      <c r="B25" s="10" t="s">
        <v>457</v>
      </c>
      <c r="C25" s="10" t="s">
        <v>458</v>
      </c>
      <c r="D25" s="10" t="s">
        <v>459</v>
      </c>
      <c r="E25" s="10" t="str">
        <f>"1,1900"</f>
        <v>1,1900</v>
      </c>
      <c r="F25" s="10" t="s">
        <v>55</v>
      </c>
      <c r="G25" s="22" t="s">
        <v>83</v>
      </c>
      <c r="H25" s="23" t="s">
        <v>84</v>
      </c>
      <c r="I25" s="23" t="s">
        <v>84</v>
      </c>
      <c r="J25" s="11"/>
      <c r="K25" s="29" t="str">
        <f>"65,0"</f>
        <v>65,0</v>
      </c>
      <c r="L25" s="11" t="str">
        <f>"77,3500"</f>
        <v>77,3500</v>
      </c>
      <c r="M25" s="10" t="s">
        <v>460</v>
      </c>
    </row>
    <row r="26" spans="1:13" ht="12.75">
      <c r="A26" s="11" t="s">
        <v>66</v>
      </c>
      <c r="B26" s="10" t="s">
        <v>461</v>
      </c>
      <c r="C26" s="10" t="s">
        <v>462</v>
      </c>
      <c r="D26" s="10" t="s">
        <v>122</v>
      </c>
      <c r="E26" s="10" t="str">
        <f>"1,1799"</f>
        <v>1,1799</v>
      </c>
      <c r="F26" s="10" t="s">
        <v>55</v>
      </c>
      <c r="G26" s="22" t="s">
        <v>35</v>
      </c>
      <c r="H26" s="22" t="s">
        <v>83</v>
      </c>
      <c r="I26" s="23" t="s">
        <v>99</v>
      </c>
      <c r="J26" s="11"/>
      <c r="K26" s="29" t="str">
        <f>"65,0"</f>
        <v>65,0</v>
      </c>
      <c r="L26" s="11" t="str">
        <f>"76,6935"</f>
        <v>76,6935</v>
      </c>
      <c r="M26" s="10" t="s">
        <v>53</v>
      </c>
    </row>
    <row r="27" spans="1:13" ht="12.75">
      <c r="A27" s="13" t="s">
        <v>69</v>
      </c>
      <c r="B27" s="12" t="s">
        <v>463</v>
      </c>
      <c r="C27" s="12" t="s">
        <v>464</v>
      </c>
      <c r="D27" s="12" t="s">
        <v>82</v>
      </c>
      <c r="E27" s="12" t="str">
        <f>"1,1816"</f>
        <v>1,1816</v>
      </c>
      <c r="F27" s="40" t="s">
        <v>465</v>
      </c>
      <c r="G27" s="24" t="s">
        <v>44</v>
      </c>
      <c r="H27" s="24" t="s">
        <v>56</v>
      </c>
      <c r="I27" s="25" t="s">
        <v>45</v>
      </c>
      <c r="J27" s="13"/>
      <c r="K27" s="28" t="str">
        <f>"47,5"</f>
        <v>47,5</v>
      </c>
      <c r="L27" s="13" t="str">
        <f>"56,1260"</f>
        <v>56,1260</v>
      </c>
      <c r="M27" s="12" t="s">
        <v>53</v>
      </c>
    </row>
    <row r="28" ht="12.75">
      <c r="B28" s="4" t="s">
        <v>26</v>
      </c>
    </row>
    <row r="29" spans="1:10" ht="15">
      <c r="A29" s="45" t="s">
        <v>91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3" ht="12.75">
      <c r="A30" s="9" t="s">
        <v>15</v>
      </c>
      <c r="B30" s="8" t="s">
        <v>466</v>
      </c>
      <c r="C30" s="8" t="s">
        <v>467</v>
      </c>
      <c r="D30" s="8" t="s">
        <v>92</v>
      </c>
      <c r="E30" s="8" t="str">
        <f>"1,1281"</f>
        <v>1,1281</v>
      </c>
      <c r="F30" s="39" t="s">
        <v>468</v>
      </c>
      <c r="G30" s="21" t="s">
        <v>35</v>
      </c>
      <c r="H30" s="20" t="s">
        <v>83</v>
      </c>
      <c r="I30" s="21" t="s">
        <v>99</v>
      </c>
      <c r="J30" s="9"/>
      <c r="K30" s="27" t="str">
        <f>"65,0"</f>
        <v>65,0</v>
      </c>
      <c r="L30" s="9" t="str">
        <f>"73,3265"</f>
        <v>73,3265</v>
      </c>
      <c r="M30" s="8" t="s">
        <v>469</v>
      </c>
    </row>
    <row r="31" spans="1:13" ht="12.75">
      <c r="A31" s="11" t="s">
        <v>39</v>
      </c>
      <c r="B31" s="10" t="s">
        <v>470</v>
      </c>
      <c r="C31" s="10" t="s">
        <v>471</v>
      </c>
      <c r="D31" s="10" t="s">
        <v>472</v>
      </c>
      <c r="E31" s="10" t="str">
        <f>"1,1192"</f>
        <v>1,1192</v>
      </c>
      <c r="F31" s="10" t="s">
        <v>55</v>
      </c>
      <c r="G31" s="22" t="s">
        <v>45</v>
      </c>
      <c r="H31" s="22" t="s">
        <v>57</v>
      </c>
      <c r="I31" s="23" t="s">
        <v>35</v>
      </c>
      <c r="J31" s="11"/>
      <c r="K31" s="29" t="str">
        <f>"57,5"</f>
        <v>57,5</v>
      </c>
      <c r="L31" s="11" t="str">
        <f>"64,3540"</f>
        <v>64,3540</v>
      </c>
      <c r="M31" s="10" t="s">
        <v>473</v>
      </c>
    </row>
    <row r="32" spans="1:13" ht="12.75">
      <c r="A32" s="11" t="s">
        <v>15</v>
      </c>
      <c r="B32" s="10" t="s">
        <v>474</v>
      </c>
      <c r="C32" s="10" t="s">
        <v>475</v>
      </c>
      <c r="D32" s="10" t="s">
        <v>476</v>
      </c>
      <c r="E32" s="10" t="str">
        <f>"1,1221"</f>
        <v>1,1221</v>
      </c>
      <c r="F32" s="10" t="s">
        <v>315</v>
      </c>
      <c r="G32" s="23" t="s">
        <v>44</v>
      </c>
      <c r="H32" s="22" t="s">
        <v>44</v>
      </c>
      <c r="I32" s="22" t="s">
        <v>45</v>
      </c>
      <c r="J32" s="11"/>
      <c r="K32" s="29" t="str">
        <f>"50,0"</f>
        <v>50,0</v>
      </c>
      <c r="L32" s="11" t="str">
        <f>"57,6759"</f>
        <v>57,6759</v>
      </c>
      <c r="M32" s="10" t="s">
        <v>53</v>
      </c>
    </row>
    <row r="33" spans="1:13" ht="12.75">
      <c r="A33" s="13" t="s">
        <v>15</v>
      </c>
      <c r="B33" s="12" t="s">
        <v>477</v>
      </c>
      <c r="C33" s="12" t="s">
        <v>478</v>
      </c>
      <c r="D33" s="12" t="s">
        <v>479</v>
      </c>
      <c r="E33" s="12" t="str">
        <f>"1,1178"</f>
        <v>1,1178</v>
      </c>
      <c r="F33" s="12" t="s">
        <v>408</v>
      </c>
      <c r="G33" s="24" t="s">
        <v>45</v>
      </c>
      <c r="H33" s="24" t="s">
        <v>20</v>
      </c>
      <c r="I33" s="25" t="s">
        <v>21</v>
      </c>
      <c r="J33" s="13"/>
      <c r="K33" s="28" t="str">
        <f>"52,5"</f>
        <v>52,5</v>
      </c>
      <c r="L33" s="13" t="str">
        <f>"77,5809"</f>
        <v>77,5809</v>
      </c>
      <c r="M33" s="12" t="s">
        <v>480</v>
      </c>
    </row>
    <row r="34" ht="12.75">
      <c r="B34" s="4" t="s">
        <v>26</v>
      </c>
    </row>
    <row r="35" spans="1:10" ht="15">
      <c r="A35" s="45" t="s">
        <v>93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3" ht="12.75">
      <c r="A36" s="9" t="s">
        <v>15</v>
      </c>
      <c r="B36" s="8" t="s">
        <v>481</v>
      </c>
      <c r="C36" s="8" t="s">
        <v>482</v>
      </c>
      <c r="D36" s="8" t="s">
        <v>483</v>
      </c>
      <c r="E36" s="8" t="str">
        <f>"1,0753"</f>
        <v>1,0753</v>
      </c>
      <c r="F36" s="39" t="s">
        <v>484</v>
      </c>
      <c r="G36" s="20" t="s">
        <v>44</v>
      </c>
      <c r="H36" s="20" t="s">
        <v>56</v>
      </c>
      <c r="I36" s="21" t="s">
        <v>45</v>
      </c>
      <c r="J36" s="9"/>
      <c r="K36" s="27" t="str">
        <f>"47,5"</f>
        <v>47,5</v>
      </c>
      <c r="L36" s="9" t="str">
        <f>"51,0767"</f>
        <v>51,0767</v>
      </c>
      <c r="M36" s="8" t="s">
        <v>485</v>
      </c>
    </row>
    <row r="37" spans="1:13" ht="12.75">
      <c r="A37" s="11" t="s">
        <v>15</v>
      </c>
      <c r="B37" s="10" t="s">
        <v>103</v>
      </c>
      <c r="C37" s="10" t="s">
        <v>104</v>
      </c>
      <c r="D37" s="10" t="s">
        <v>105</v>
      </c>
      <c r="E37" s="10" t="str">
        <f>"1,0491"</f>
        <v>1,0491</v>
      </c>
      <c r="F37" s="10" t="s">
        <v>55</v>
      </c>
      <c r="G37" s="22" t="s">
        <v>60</v>
      </c>
      <c r="H37" s="22" t="s">
        <v>51</v>
      </c>
      <c r="I37" s="22" t="s">
        <v>52</v>
      </c>
      <c r="J37" s="11"/>
      <c r="K37" s="29" t="str">
        <f>"112,5"</f>
        <v>112,5</v>
      </c>
      <c r="L37" s="11" t="str">
        <f>"118,0238"</f>
        <v>118,0238</v>
      </c>
      <c r="M37" s="10" t="s">
        <v>106</v>
      </c>
    </row>
    <row r="38" spans="1:13" ht="12.75">
      <c r="A38" s="11" t="s">
        <v>39</v>
      </c>
      <c r="B38" s="10" t="s">
        <v>486</v>
      </c>
      <c r="C38" s="10" t="s">
        <v>487</v>
      </c>
      <c r="D38" s="10" t="s">
        <v>488</v>
      </c>
      <c r="E38" s="10" t="str">
        <f>"1,0939"</f>
        <v>1,0939</v>
      </c>
      <c r="F38" s="41" t="s">
        <v>489</v>
      </c>
      <c r="G38" s="23" t="s">
        <v>28</v>
      </c>
      <c r="H38" s="22" t="s">
        <v>28</v>
      </c>
      <c r="I38" s="23" t="s">
        <v>42</v>
      </c>
      <c r="J38" s="11"/>
      <c r="K38" s="29" t="str">
        <f>"77,5"</f>
        <v>77,5</v>
      </c>
      <c r="L38" s="11" t="str">
        <f>"84,7772"</f>
        <v>84,7772</v>
      </c>
      <c r="M38" s="10" t="s">
        <v>490</v>
      </c>
    </row>
    <row r="39" spans="1:13" ht="12.75">
      <c r="A39" s="11" t="s">
        <v>49</v>
      </c>
      <c r="B39" s="10" t="s">
        <v>491</v>
      </c>
      <c r="C39" s="10" t="s">
        <v>492</v>
      </c>
      <c r="D39" s="10" t="s">
        <v>493</v>
      </c>
      <c r="E39" s="10" t="str">
        <f>"1,0432"</f>
        <v>1,0432</v>
      </c>
      <c r="F39" s="10" t="s">
        <v>55</v>
      </c>
      <c r="G39" s="22" t="s">
        <v>83</v>
      </c>
      <c r="H39" s="23" t="s">
        <v>99</v>
      </c>
      <c r="I39" s="23" t="s">
        <v>99</v>
      </c>
      <c r="J39" s="11"/>
      <c r="K39" s="29" t="str">
        <f>"65,0"</f>
        <v>65,0</v>
      </c>
      <c r="L39" s="11" t="str">
        <f>"67,8080"</f>
        <v>67,8080</v>
      </c>
      <c r="M39" s="10" t="s">
        <v>53</v>
      </c>
    </row>
    <row r="40" spans="1:13" ht="12.75">
      <c r="A40" s="11" t="s">
        <v>65</v>
      </c>
      <c r="B40" s="10" t="s">
        <v>324</v>
      </c>
      <c r="C40" s="10" t="s">
        <v>325</v>
      </c>
      <c r="D40" s="10" t="s">
        <v>100</v>
      </c>
      <c r="E40" s="10" t="str">
        <f>"1,0385"</f>
        <v>1,0385</v>
      </c>
      <c r="F40" s="10" t="s">
        <v>262</v>
      </c>
      <c r="G40" s="22" t="s">
        <v>21</v>
      </c>
      <c r="H40" s="22" t="s">
        <v>34</v>
      </c>
      <c r="I40" s="22" t="s">
        <v>35</v>
      </c>
      <c r="J40" s="11"/>
      <c r="K40" s="29" t="str">
        <f>"62,5"</f>
        <v>62,5</v>
      </c>
      <c r="L40" s="11" t="str">
        <f>"64,9062"</f>
        <v>64,9062</v>
      </c>
      <c r="M40" s="10" t="s">
        <v>266</v>
      </c>
    </row>
    <row r="41" spans="1:13" ht="12.75">
      <c r="A41" s="11" t="s">
        <v>66</v>
      </c>
      <c r="B41" s="10" t="s">
        <v>494</v>
      </c>
      <c r="C41" s="10" t="s">
        <v>495</v>
      </c>
      <c r="D41" s="10" t="s">
        <v>496</v>
      </c>
      <c r="E41" s="10" t="str">
        <f>"1,0374"</f>
        <v>1,0374</v>
      </c>
      <c r="F41" s="10" t="s">
        <v>101</v>
      </c>
      <c r="G41" s="22" t="s">
        <v>34</v>
      </c>
      <c r="H41" s="23" t="s">
        <v>99</v>
      </c>
      <c r="I41" s="23" t="s">
        <v>99</v>
      </c>
      <c r="J41" s="11"/>
      <c r="K41" s="29" t="str">
        <f>"60,0"</f>
        <v>60,0</v>
      </c>
      <c r="L41" s="11" t="str">
        <f>"62,2440"</f>
        <v>62,2440</v>
      </c>
      <c r="M41" s="10" t="s">
        <v>497</v>
      </c>
    </row>
    <row r="42" spans="1:13" ht="12.75">
      <c r="A42" s="11" t="s">
        <v>69</v>
      </c>
      <c r="B42" s="10" t="s">
        <v>498</v>
      </c>
      <c r="C42" s="10" t="s">
        <v>499</v>
      </c>
      <c r="D42" s="10" t="s">
        <v>493</v>
      </c>
      <c r="E42" s="10" t="str">
        <f>"1,0432"</f>
        <v>1,0432</v>
      </c>
      <c r="F42" s="41" t="s">
        <v>500</v>
      </c>
      <c r="G42" s="22" t="s">
        <v>56</v>
      </c>
      <c r="H42" s="22" t="s">
        <v>45</v>
      </c>
      <c r="I42" s="23" t="s">
        <v>21</v>
      </c>
      <c r="J42" s="11"/>
      <c r="K42" s="29" t="str">
        <f>"50,0"</f>
        <v>50,0</v>
      </c>
      <c r="L42" s="11" t="str">
        <f>"52,1600"</f>
        <v>52,1600</v>
      </c>
      <c r="M42" s="10" t="s">
        <v>501</v>
      </c>
    </row>
    <row r="43" spans="1:13" ht="12.75">
      <c r="A43" s="11" t="s">
        <v>15</v>
      </c>
      <c r="B43" s="10" t="s">
        <v>502</v>
      </c>
      <c r="C43" s="10" t="s">
        <v>503</v>
      </c>
      <c r="D43" s="10" t="s">
        <v>258</v>
      </c>
      <c r="E43" s="10" t="str">
        <f>"1,0503"</f>
        <v>1,0503</v>
      </c>
      <c r="F43" s="10" t="s">
        <v>265</v>
      </c>
      <c r="G43" s="22" t="s">
        <v>74</v>
      </c>
      <c r="H43" s="22" t="s">
        <v>31</v>
      </c>
      <c r="I43" s="22" t="s">
        <v>28</v>
      </c>
      <c r="J43" s="11"/>
      <c r="K43" s="29" t="str">
        <f>"77,5"</f>
        <v>77,5</v>
      </c>
      <c r="L43" s="11" t="str">
        <f>"84,9798"</f>
        <v>84,9798</v>
      </c>
      <c r="M43" s="10" t="s">
        <v>162</v>
      </c>
    </row>
    <row r="44" spans="1:13" ht="12.75">
      <c r="A44" s="13" t="s">
        <v>39</v>
      </c>
      <c r="B44" s="12" t="s">
        <v>504</v>
      </c>
      <c r="C44" s="12" t="s">
        <v>505</v>
      </c>
      <c r="D44" s="12" t="s">
        <v>506</v>
      </c>
      <c r="E44" s="12" t="str">
        <f>"1,0272"</f>
        <v>1,0272</v>
      </c>
      <c r="F44" s="12" t="s">
        <v>55</v>
      </c>
      <c r="G44" s="24" t="s">
        <v>84</v>
      </c>
      <c r="H44" s="25" t="s">
        <v>31</v>
      </c>
      <c r="I44" s="25" t="s">
        <v>31</v>
      </c>
      <c r="J44" s="13"/>
      <c r="K44" s="28" t="str">
        <f>"72,5"</f>
        <v>72,5</v>
      </c>
      <c r="L44" s="13" t="str">
        <f>"78,9403"</f>
        <v>78,9403</v>
      </c>
      <c r="M44" s="12" t="s">
        <v>507</v>
      </c>
    </row>
    <row r="45" ht="12.75">
      <c r="B45" s="4" t="s">
        <v>26</v>
      </c>
    </row>
    <row r="46" spans="1:10" ht="15">
      <c r="A46" s="45" t="s">
        <v>107</v>
      </c>
      <c r="B46" s="45"/>
      <c r="C46" s="45"/>
      <c r="D46" s="45"/>
      <c r="E46" s="45"/>
      <c r="F46" s="45"/>
      <c r="G46" s="45"/>
      <c r="H46" s="45"/>
      <c r="I46" s="45"/>
      <c r="J46" s="45"/>
    </row>
    <row r="47" spans="1:13" ht="12.75">
      <c r="A47" s="9" t="s">
        <v>15</v>
      </c>
      <c r="B47" s="8" t="s">
        <v>508</v>
      </c>
      <c r="C47" s="8" t="s">
        <v>509</v>
      </c>
      <c r="D47" s="8" t="s">
        <v>261</v>
      </c>
      <c r="E47" s="8" t="str">
        <f>"0,9716"</f>
        <v>0,9716</v>
      </c>
      <c r="F47" s="8" t="s">
        <v>262</v>
      </c>
      <c r="G47" s="20" t="s">
        <v>60</v>
      </c>
      <c r="H47" s="21" t="s">
        <v>50</v>
      </c>
      <c r="I47" s="20" t="s">
        <v>50</v>
      </c>
      <c r="J47" s="9"/>
      <c r="K47" s="27" t="str">
        <f>"105,0"</f>
        <v>105,0</v>
      </c>
      <c r="L47" s="9" t="str">
        <f>"102,0180"</f>
        <v>102,0180</v>
      </c>
      <c r="M47" s="8" t="s">
        <v>266</v>
      </c>
    </row>
    <row r="48" spans="1:13" ht="12.75">
      <c r="A48" s="11" t="s">
        <v>15</v>
      </c>
      <c r="B48" s="10" t="s">
        <v>508</v>
      </c>
      <c r="C48" s="10" t="s">
        <v>510</v>
      </c>
      <c r="D48" s="10" t="s">
        <v>261</v>
      </c>
      <c r="E48" s="10" t="str">
        <f>"0,9716"</f>
        <v>0,9716</v>
      </c>
      <c r="F48" s="10" t="s">
        <v>262</v>
      </c>
      <c r="G48" s="22" t="s">
        <v>60</v>
      </c>
      <c r="H48" s="23" t="s">
        <v>50</v>
      </c>
      <c r="I48" s="22" t="s">
        <v>50</v>
      </c>
      <c r="J48" s="11"/>
      <c r="K48" s="29" t="str">
        <f>"105,0"</f>
        <v>105,0</v>
      </c>
      <c r="L48" s="11" t="str">
        <f>"102,0180"</f>
        <v>102,0180</v>
      </c>
      <c r="M48" s="10" t="s">
        <v>266</v>
      </c>
    </row>
    <row r="49" spans="1:13" ht="12.75">
      <c r="A49" s="13" t="s">
        <v>39</v>
      </c>
      <c r="B49" s="12" t="s">
        <v>108</v>
      </c>
      <c r="C49" s="12" t="s">
        <v>109</v>
      </c>
      <c r="D49" s="12" t="s">
        <v>110</v>
      </c>
      <c r="E49" s="12" t="str">
        <f>"0,9881"</f>
        <v>0,9881</v>
      </c>
      <c r="F49" s="12" t="s">
        <v>111</v>
      </c>
      <c r="G49" s="24" t="s">
        <v>31</v>
      </c>
      <c r="H49" s="24" t="s">
        <v>42</v>
      </c>
      <c r="I49" s="25" t="s">
        <v>18</v>
      </c>
      <c r="J49" s="13"/>
      <c r="K49" s="28" t="str">
        <f>"80,0"</f>
        <v>80,0</v>
      </c>
      <c r="L49" s="13" t="str">
        <f>"79,0480"</f>
        <v>79,0480</v>
      </c>
      <c r="M49" s="12" t="s">
        <v>112</v>
      </c>
    </row>
    <row r="50" ht="12.75">
      <c r="B50" s="4" t="s">
        <v>26</v>
      </c>
    </row>
    <row r="51" spans="1:10" ht="15">
      <c r="A51" s="45" t="s">
        <v>54</v>
      </c>
      <c r="B51" s="45"/>
      <c r="C51" s="45"/>
      <c r="D51" s="45"/>
      <c r="E51" s="45"/>
      <c r="F51" s="45"/>
      <c r="G51" s="45"/>
      <c r="H51" s="45"/>
      <c r="I51" s="45"/>
      <c r="J51" s="45"/>
    </row>
    <row r="52" spans="1:13" ht="12.75">
      <c r="A52" s="7" t="s">
        <v>15</v>
      </c>
      <c r="B52" s="6" t="s">
        <v>511</v>
      </c>
      <c r="C52" s="6" t="s">
        <v>512</v>
      </c>
      <c r="D52" s="6" t="s">
        <v>513</v>
      </c>
      <c r="E52" s="6" t="str">
        <f>"1,0188"</f>
        <v>1,0188</v>
      </c>
      <c r="F52" s="6" t="s">
        <v>265</v>
      </c>
      <c r="G52" s="19" t="s">
        <v>20</v>
      </c>
      <c r="H52" s="18" t="s">
        <v>20</v>
      </c>
      <c r="I52" s="18" t="s">
        <v>57</v>
      </c>
      <c r="J52" s="7"/>
      <c r="K52" s="30" t="str">
        <f>"57,5"</f>
        <v>57,5</v>
      </c>
      <c r="L52" s="7" t="str">
        <f>"58,5810"</f>
        <v>58,5810</v>
      </c>
      <c r="M52" s="6" t="s">
        <v>162</v>
      </c>
    </row>
    <row r="53" ht="12.75">
      <c r="B53" s="4" t="s">
        <v>26</v>
      </c>
    </row>
    <row r="54" spans="1:10" ht="15">
      <c r="A54" s="45" t="s">
        <v>76</v>
      </c>
      <c r="B54" s="45"/>
      <c r="C54" s="45"/>
      <c r="D54" s="45"/>
      <c r="E54" s="45"/>
      <c r="F54" s="45"/>
      <c r="G54" s="45"/>
      <c r="H54" s="45"/>
      <c r="I54" s="45"/>
      <c r="J54" s="45"/>
    </row>
    <row r="55" spans="1:13" ht="12.75">
      <c r="A55" s="7" t="s">
        <v>15</v>
      </c>
      <c r="B55" s="6" t="s">
        <v>514</v>
      </c>
      <c r="C55" s="6" t="s">
        <v>515</v>
      </c>
      <c r="D55" s="6" t="s">
        <v>516</v>
      </c>
      <c r="E55" s="6" t="str">
        <f>"0,9439"</f>
        <v>0,9439</v>
      </c>
      <c r="F55" s="6" t="s">
        <v>55</v>
      </c>
      <c r="G55" s="18" t="s">
        <v>34</v>
      </c>
      <c r="H55" s="18" t="s">
        <v>83</v>
      </c>
      <c r="I55" s="19" t="s">
        <v>84</v>
      </c>
      <c r="J55" s="7"/>
      <c r="K55" s="30" t="str">
        <f>"65,0"</f>
        <v>65,0</v>
      </c>
      <c r="L55" s="7" t="str">
        <f>"61,3535"</f>
        <v>61,3535</v>
      </c>
      <c r="M55" s="6" t="s">
        <v>517</v>
      </c>
    </row>
    <row r="56" ht="12.75">
      <c r="B56" s="4" t="s">
        <v>26</v>
      </c>
    </row>
    <row r="57" spans="1:10" ht="15">
      <c r="A57" s="45" t="s">
        <v>91</v>
      </c>
      <c r="B57" s="45"/>
      <c r="C57" s="45"/>
      <c r="D57" s="45"/>
      <c r="E57" s="45"/>
      <c r="F57" s="45"/>
      <c r="G57" s="45"/>
      <c r="H57" s="45"/>
      <c r="I57" s="45"/>
      <c r="J57" s="45"/>
    </row>
    <row r="58" spans="1:13" ht="12.75">
      <c r="A58" s="7" t="s">
        <v>15</v>
      </c>
      <c r="B58" s="6" t="s">
        <v>518</v>
      </c>
      <c r="C58" s="6" t="s">
        <v>519</v>
      </c>
      <c r="D58" s="6" t="s">
        <v>520</v>
      </c>
      <c r="E58" s="6" t="str">
        <f>"0,8787"</f>
        <v>0,8787</v>
      </c>
      <c r="F58" s="6" t="s">
        <v>55</v>
      </c>
      <c r="G58" s="18" t="s">
        <v>28</v>
      </c>
      <c r="H58" s="19" t="s">
        <v>18</v>
      </c>
      <c r="I58" s="19" t="s">
        <v>18</v>
      </c>
      <c r="J58" s="7"/>
      <c r="K58" s="30" t="str">
        <f>"77,5"</f>
        <v>77,5</v>
      </c>
      <c r="L58" s="7" t="str">
        <f>"68,0993"</f>
        <v>68,0993</v>
      </c>
      <c r="M58" s="6" t="s">
        <v>521</v>
      </c>
    </row>
    <row r="59" ht="12.75">
      <c r="B59" s="4" t="s">
        <v>26</v>
      </c>
    </row>
    <row r="60" spans="1:10" ht="15">
      <c r="A60" s="45" t="s">
        <v>93</v>
      </c>
      <c r="B60" s="45"/>
      <c r="C60" s="45"/>
      <c r="D60" s="45"/>
      <c r="E60" s="45"/>
      <c r="F60" s="45"/>
      <c r="G60" s="45"/>
      <c r="H60" s="45"/>
      <c r="I60" s="45"/>
      <c r="J60" s="45"/>
    </row>
    <row r="61" spans="1:13" ht="12.75">
      <c r="A61" s="9" t="s">
        <v>15</v>
      </c>
      <c r="B61" s="8" t="s">
        <v>522</v>
      </c>
      <c r="C61" s="8" t="s">
        <v>523</v>
      </c>
      <c r="D61" s="8" t="s">
        <v>493</v>
      </c>
      <c r="E61" s="8" t="str">
        <f>"0,7901"</f>
        <v>0,7901</v>
      </c>
      <c r="F61" s="8" t="s">
        <v>484</v>
      </c>
      <c r="G61" s="20" t="s">
        <v>32</v>
      </c>
      <c r="H61" s="21" t="s">
        <v>61</v>
      </c>
      <c r="I61" s="21" t="s">
        <v>61</v>
      </c>
      <c r="J61" s="9"/>
      <c r="K61" s="27" t="str">
        <f>"115,0"</f>
        <v>115,0</v>
      </c>
      <c r="L61" s="9" t="str">
        <f>"90,8615"</f>
        <v>90,8615</v>
      </c>
      <c r="M61" s="8" t="s">
        <v>485</v>
      </c>
    </row>
    <row r="62" spans="1:13" ht="12.75">
      <c r="A62" s="11" t="s">
        <v>39</v>
      </c>
      <c r="B62" s="10" t="s">
        <v>524</v>
      </c>
      <c r="C62" s="10" t="s">
        <v>525</v>
      </c>
      <c r="D62" s="10" t="s">
        <v>526</v>
      </c>
      <c r="E62" s="10" t="str">
        <f>"0,7719"</f>
        <v>0,7719</v>
      </c>
      <c r="F62" s="10" t="s">
        <v>329</v>
      </c>
      <c r="G62" s="23" t="s">
        <v>43</v>
      </c>
      <c r="H62" s="22" t="s">
        <v>43</v>
      </c>
      <c r="I62" s="23" t="s">
        <v>24</v>
      </c>
      <c r="J62" s="11"/>
      <c r="K62" s="29" t="str">
        <f>"90,0"</f>
        <v>90,0</v>
      </c>
      <c r="L62" s="11" t="str">
        <f>"69,4710"</f>
        <v>69,4710</v>
      </c>
      <c r="M62" s="10" t="s">
        <v>330</v>
      </c>
    </row>
    <row r="63" spans="1:13" ht="12.75">
      <c r="A63" s="11" t="s">
        <v>49</v>
      </c>
      <c r="B63" s="10" t="s">
        <v>527</v>
      </c>
      <c r="C63" s="10" t="s">
        <v>528</v>
      </c>
      <c r="D63" s="10" t="s">
        <v>529</v>
      </c>
      <c r="E63" s="10" t="str">
        <f>"0,8427"</f>
        <v>0,8427</v>
      </c>
      <c r="F63" s="10" t="s">
        <v>55</v>
      </c>
      <c r="G63" s="23" t="s">
        <v>74</v>
      </c>
      <c r="H63" s="22" t="s">
        <v>31</v>
      </c>
      <c r="I63" s="22" t="s">
        <v>28</v>
      </c>
      <c r="J63" s="11"/>
      <c r="K63" s="29" t="str">
        <f>"77,5"</f>
        <v>77,5</v>
      </c>
      <c r="L63" s="11" t="str">
        <f>"65,3093"</f>
        <v>65,3093</v>
      </c>
      <c r="M63" s="10" t="s">
        <v>530</v>
      </c>
    </row>
    <row r="64" spans="1:13" ht="12.75">
      <c r="A64" s="11" t="s">
        <v>15</v>
      </c>
      <c r="B64" s="10" t="s">
        <v>531</v>
      </c>
      <c r="C64" s="10" t="s">
        <v>532</v>
      </c>
      <c r="D64" s="10" t="s">
        <v>533</v>
      </c>
      <c r="E64" s="10" t="str">
        <f>"0,7881"</f>
        <v>0,7881</v>
      </c>
      <c r="F64" s="10" t="s">
        <v>281</v>
      </c>
      <c r="G64" s="22" t="s">
        <v>61</v>
      </c>
      <c r="H64" s="22" t="s">
        <v>62</v>
      </c>
      <c r="I64" s="22" t="s">
        <v>87</v>
      </c>
      <c r="J64" s="11"/>
      <c r="K64" s="29" t="str">
        <f>"127,5"</f>
        <v>127,5</v>
      </c>
      <c r="L64" s="11" t="str">
        <f>"100,4828"</f>
        <v>100,4828</v>
      </c>
      <c r="M64" s="10" t="s">
        <v>534</v>
      </c>
    </row>
    <row r="65" spans="1:13" ht="12.75">
      <c r="A65" s="11" t="s">
        <v>39</v>
      </c>
      <c r="B65" s="10" t="s">
        <v>535</v>
      </c>
      <c r="C65" s="10" t="s">
        <v>536</v>
      </c>
      <c r="D65" s="10" t="s">
        <v>529</v>
      </c>
      <c r="E65" s="10" t="str">
        <f>"0,8427"</f>
        <v>0,8427</v>
      </c>
      <c r="F65" s="41" t="s">
        <v>537</v>
      </c>
      <c r="G65" s="23" t="s">
        <v>51</v>
      </c>
      <c r="H65" s="22" t="s">
        <v>51</v>
      </c>
      <c r="I65" s="22" t="s">
        <v>52</v>
      </c>
      <c r="J65" s="11"/>
      <c r="K65" s="29" t="str">
        <f>"112,5"</f>
        <v>112,5</v>
      </c>
      <c r="L65" s="11" t="str">
        <f>"94,8038"</f>
        <v>94,8038</v>
      </c>
      <c r="M65" s="10" t="s">
        <v>538</v>
      </c>
    </row>
    <row r="66" spans="1:13" ht="12.75">
      <c r="A66" s="11" t="s">
        <v>49</v>
      </c>
      <c r="B66" s="10" t="s">
        <v>539</v>
      </c>
      <c r="C66" s="10" t="s">
        <v>540</v>
      </c>
      <c r="D66" s="10" t="s">
        <v>541</v>
      </c>
      <c r="E66" s="10" t="str">
        <f>"0,7891"</f>
        <v>0,7891</v>
      </c>
      <c r="F66" s="41" t="s">
        <v>542</v>
      </c>
      <c r="G66" s="22" t="s">
        <v>18</v>
      </c>
      <c r="H66" s="23" t="s">
        <v>14</v>
      </c>
      <c r="I66" s="22" t="s">
        <v>14</v>
      </c>
      <c r="J66" s="11"/>
      <c r="K66" s="29" t="str">
        <f>"87,5"</f>
        <v>87,5</v>
      </c>
      <c r="L66" s="11" t="str">
        <f>"69,0462"</f>
        <v>69,0462</v>
      </c>
      <c r="M66" s="10" t="s">
        <v>543</v>
      </c>
    </row>
    <row r="67" spans="1:13" ht="12.75">
      <c r="A67" s="11" t="s">
        <v>15</v>
      </c>
      <c r="B67" s="10" t="s">
        <v>544</v>
      </c>
      <c r="C67" s="10" t="s">
        <v>545</v>
      </c>
      <c r="D67" s="10" t="s">
        <v>131</v>
      </c>
      <c r="E67" s="10" t="str">
        <f>"0,7794"</f>
        <v>0,7794</v>
      </c>
      <c r="F67" s="41" t="s">
        <v>546</v>
      </c>
      <c r="G67" s="22" t="s">
        <v>94</v>
      </c>
      <c r="H67" s="23" t="s">
        <v>32</v>
      </c>
      <c r="I67" s="23" t="s">
        <v>32</v>
      </c>
      <c r="J67" s="11"/>
      <c r="K67" s="29" t="str">
        <f>"107,5"</f>
        <v>107,5</v>
      </c>
      <c r="L67" s="11" t="str">
        <f>"83,7855"</f>
        <v>83,7855</v>
      </c>
      <c r="M67" s="10" t="s">
        <v>53</v>
      </c>
    </row>
    <row r="68" spans="1:13" ht="12.75">
      <c r="A68" s="11" t="s">
        <v>15</v>
      </c>
      <c r="B68" s="10" t="s">
        <v>547</v>
      </c>
      <c r="C68" s="10" t="s">
        <v>548</v>
      </c>
      <c r="D68" s="10" t="s">
        <v>259</v>
      </c>
      <c r="E68" s="10" t="str">
        <f>"0,7832"</f>
        <v>0,7832</v>
      </c>
      <c r="F68" s="10" t="s">
        <v>55</v>
      </c>
      <c r="G68" s="22" t="s">
        <v>32</v>
      </c>
      <c r="H68" s="23" t="s">
        <v>33</v>
      </c>
      <c r="I68" s="23" t="s">
        <v>33</v>
      </c>
      <c r="J68" s="11"/>
      <c r="K68" s="29" t="str">
        <f>"115,0"</f>
        <v>115,0</v>
      </c>
      <c r="L68" s="11" t="str">
        <f>"90,0680"</f>
        <v>90,0680</v>
      </c>
      <c r="M68" s="10" t="s">
        <v>549</v>
      </c>
    </row>
    <row r="69" spans="1:13" ht="12.75">
      <c r="A69" s="11" t="s">
        <v>39</v>
      </c>
      <c r="B69" s="10" t="s">
        <v>544</v>
      </c>
      <c r="C69" s="10" t="s">
        <v>550</v>
      </c>
      <c r="D69" s="10" t="s">
        <v>131</v>
      </c>
      <c r="E69" s="10" t="str">
        <f>"0,7794"</f>
        <v>0,7794</v>
      </c>
      <c r="F69" s="10" t="s">
        <v>546</v>
      </c>
      <c r="G69" s="22" t="s">
        <v>94</v>
      </c>
      <c r="H69" s="23" t="s">
        <v>32</v>
      </c>
      <c r="I69" s="23" t="s">
        <v>32</v>
      </c>
      <c r="J69" s="11"/>
      <c r="K69" s="29" t="str">
        <f>"107,5"</f>
        <v>107,5</v>
      </c>
      <c r="L69" s="11" t="str">
        <f>"83,7855"</f>
        <v>83,7855</v>
      </c>
      <c r="M69" s="10" t="s">
        <v>53</v>
      </c>
    </row>
    <row r="70" spans="1:13" ht="12.75">
      <c r="A70" s="11" t="s">
        <v>49</v>
      </c>
      <c r="B70" s="10" t="s">
        <v>551</v>
      </c>
      <c r="C70" s="10" t="s">
        <v>552</v>
      </c>
      <c r="D70" s="10" t="s">
        <v>131</v>
      </c>
      <c r="E70" s="10" t="str">
        <f>"0,7794"</f>
        <v>0,7794</v>
      </c>
      <c r="F70" s="41" t="s">
        <v>553</v>
      </c>
      <c r="G70" s="23" t="s">
        <v>60</v>
      </c>
      <c r="H70" s="22" t="s">
        <v>60</v>
      </c>
      <c r="I70" s="23" t="s">
        <v>50</v>
      </c>
      <c r="J70" s="11"/>
      <c r="K70" s="29" t="str">
        <f>"100,0"</f>
        <v>100,0</v>
      </c>
      <c r="L70" s="11" t="str">
        <f>"77,9400"</f>
        <v>77,9400</v>
      </c>
      <c r="M70" s="10" t="s">
        <v>53</v>
      </c>
    </row>
    <row r="71" spans="1:13" ht="12.75">
      <c r="A71" s="13" t="s">
        <v>15</v>
      </c>
      <c r="B71" s="12" t="s">
        <v>554</v>
      </c>
      <c r="C71" s="12" t="s">
        <v>555</v>
      </c>
      <c r="D71" s="12" t="s">
        <v>556</v>
      </c>
      <c r="E71" s="12" t="str">
        <f>"0,8004"</f>
        <v>0,8004</v>
      </c>
      <c r="F71" s="12" t="s">
        <v>55</v>
      </c>
      <c r="G71" s="24" t="s">
        <v>74</v>
      </c>
      <c r="H71" s="24" t="s">
        <v>31</v>
      </c>
      <c r="I71" s="25" t="s">
        <v>42</v>
      </c>
      <c r="J71" s="13"/>
      <c r="K71" s="28" t="str">
        <f>"75,0"</f>
        <v>75,0</v>
      </c>
      <c r="L71" s="13" t="str">
        <f>"118,8594"</f>
        <v>118,8594</v>
      </c>
      <c r="M71" s="12" t="s">
        <v>53</v>
      </c>
    </row>
    <row r="72" ht="12.75">
      <c r="B72" s="4" t="s">
        <v>26</v>
      </c>
    </row>
    <row r="73" spans="1:10" ht="15">
      <c r="A73" s="45" t="s">
        <v>107</v>
      </c>
      <c r="B73" s="45"/>
      <c r="C73" s="45"/>
      <c r="D73" s="45"/>
      <c r="E73" s="45"/>
      <c r="F73" s="45"/>
      <c r="G73" s="45"/>
      <c r="H73" s="45"/>
      <c r="I73" s="45"/>
      <c r="J73" s="45"/>
    </row>
    <row r="74" spans="1:13" ht="12.75">
      <c r="A74" s="9" t="s">
        <v>15</v>
      </c>
      <c r="B74" s="8" t="s">
        <v>557</v>
      </c>
      <c r="C74" s="8" t="s">
        <v>558</v>
      </c>
      <c r="D74" s="8" t="s">
        <v>264</v>
      </c>
      <c r="E74" s="8" t="str">
        <f>"0,7200"</f>
        <v>0,7200</v>
      </c>
      <c r="F74" s="8" t="s">
        <v>339</v>
      </c>
      <c r="G74" s="20" t="s">
        <v>50</v>
      </c>
      <c r="H74" s="21" t="s">
        <v>51</v>
      </c>
      <c r="I74" s="20" t="s">
        <v>52</v>
      </c>
      <c r="J74" s="9"/>
      <c r="K74" s="27" t="str">
        <f>"112,5"</f>
        <v>112,5</v>
      </c>
      <c r="L74" s="9" t="str">
        <f>"81,0000"</f>
        <v>81,0000</v>
      </c>
      <c r="M74" s="8" t="s">
        <v>53</v>
      </c>
    </row>
    <row r="75" spans="1:13" ht="12.75">
      <c r="A75" s="11" t="s">
        <v>15</v>
      </c>
      <c r="B75" s="10" t="s">
        <v>559</v>
      </c>
      <c r="C75" s="10" t="s">
        <v>560</v>
      </c>
      <c r="D75" s="10" t="s">
        <v>141</v>
      </c>
      <c r="E75" s="10" t="str">
        <f>"0,7214"</f>
        <v>0,7214</v>
      </c>
      <c r="F75" s="10" t="s">
        <v>413</v>
      </c>
      <c r="G75" s="23" t="s">
        <v>87</v>
      </c>
      <c r="H75" s="23" t="s">
        <v>87</v>
      </c>
      <c r="I75" s="22" t="s">
        <v>85</v>
      </c>
      <c r="J75" s="11"/>
      <c r="K75" s="29" t="str">
        <f>"135,0"</f>
        <v>135,0</v>
      </c>
      <c r="L75" s="11" t="str">
        <f>"97,3890"</f>
        <v>97,3890</v>
      </c>
      <c r="M75" s="10" t="s">
        <v>53</v>
      </c>
    </row>
    <row r="76" spans="1:13" ht="12.75">
      <c r="A76" s="11" t="s">
        <v>39</v>
      </c>
      <c r="B76" s="10" t="s">
        <v>561</v>
      </c>
      <c r="C76" s="10" t="s">
        <v>562</v>
      </c>
      <c r="D76" s="10" t="s">
        <v>264</v>
      </c>
      <c r="E76" s="10" t="str">
        <f>"0,7200"</f>
        <v>0,7200</v>
      </c>
      <c r="F76" s="10" t="s">
        <v>55</v>
      </c>
      <c r="G76" s="22" t="s">
        <v>61</v>
      </c>
      <c r="H76" s="22" t="s">
        <v>63</v>
      </c>
      <c r="I76" s="23" t="s">
        <v>85</v>
      </c>
      <c r="J76" s="11"/>
      <c r="K76" s="29" t="str">
        <f>"130,0"</f>
        <v>130,0</v>
      </c>
      <c r="L76" s="11" t="str">
        <f>"93,6000"</f>
        <v>93,6000</v>
      </c>
      <c r="M76" s="10" t="s">
        <v>53</v>
      </c>
    </row>
    <row r="77" spans="1:13" ht="12.75">
      <c r="A77" s="11" t="s">
        <v>15</v>
      </c>
      <c r="B77" s="10" t="s">
        <v>563</v>
      </c>
      <c r="C77" s="10" t="s">
        <v>564</v>
      </c>
      <c r="D77" s="10" t="s">
        <v>326</v>
      </c>
      <c r="E77" s="10" t="str">
        <f>"0,7166"</f>
        <v>0,7166</v>
      </c>
      <c r="F77" s="10" t="s">
        <v>192</v>
      </c>
      <c r="G77" s="22" t="s">
        <v>36</v>
      </c>
      <c r="H77" s="23" t="s">
        <v>86</v>
      </c>
      <c r="I77" s="22" t="s">
        <v>86</v>
      </c>
      <c r="J77" s="11"/>
      <c r="K77" s="29" t="str">
        <f>"152,5"</f>
        <v>152,5</v>
      </c>
      <c r="L77" s="11" t="str">
        <f>"109,2815"</f>
        <v>109,2815</v>
      </c>
      <c r="M77" s="10" t="s">
        <v>565</v>
      </c>
    </row>
    <row r="78" spans="1:13" ht="12.75">
      <c r="A78" s="11" t="s">
        <v>39</v>
      </c>
      <c r="B78" s="10" t="s">
        <v>566</v>
      </c>
      <c r="C78" s="10" t="s">
        <v>567</v>
      </c>
      <c r="D78" s="10" t="s">
        <v>328</v>
      </c>
      <c r="E78" s="10" t="str">
        <f>"0,7126"</f>
        <v>0,7126</v>
      </c>
      <c r="F78" s="41" t="s">
        <v>568</v>
      </c>
      <c r="G78" s="22" t="s">
        <v>85</v>
      </c>
      <c r="H78" s="22" t="s">
        <v>48</v>
      </c>
      <c r="I78" s="22" t="s">
        <v>36</v>
      </c>
      <c r="J78" s="11"/>
      <c r="K78" s="29" t="str">
        <f>"145,0"</f>
        <v>145,0</v>
      </c>
      <c r="L78" s="11" t="str">
        <f>"103,3270"</f>
        <v>103,3270</v>
      </c>
      <c r="M78" s="10" t="s">
        <v>569</v>
      </c>
    </row>
    <row r="79" spans="1:13" ht="12.75">
      <c r="A79" s="11" t="s">
        <v>49</v>
      </c>
      <c r="B79" s="10" t="s">
        <v>570</v>
      </c>
      <c r="C79" s="10" t="s">
        <v>571</v>
      </c>
      <c r="D79" s="10" t="s">
        <v>572</v>
      </c>
      <c r="E79" s="10" t="str">
        <f>"0,7242"</f>
        <v>0,7242</v>
      </c>
      <c r="F79" s="10" t="s">
        <v>55</v>
      </c>
      <c r="G79" s="22" t="s">
        <v>63</v>
      </c>
      <c r="H79" s="22" t="s">
        <v>85</v>
      </c>
      <c r="I79" s="22" t="s">
        <v>80</v>
      </c>
      <c r="J79" s="11"/>
      <c r="K79" s="29" t="str">
        <f>"140,0"</f>
        <v>140,0</v>
      </c>
      <c r="L79" s="11" t="str">
        <f>"101,3880"</f>
        <v>101,3880</v>
      </c>
      <c r="M79" s="10" t="s">
        <v>53</v>
      </c>
    </row>
    <row r="80" spans="1:13" ht="12.75">
      <c r="A80" s="11" t="s">
        <v>65</v>
      </c>
      <c r="B80" s="10" t="s">
        <v>573</v>
      </c>
      <c r="C80" s="10" t="s">
        <v>574</v>
      </c>
      <c r="D80" s="10" t="s">
        <v>391</v>
      </c>
      <c r="E80" s="10" t="str">
        <f>"0,7228"</f>
        <v>0,7228</v>
      </c>
      <c r="F80" s="10" t="s">
        <v>55</v>
      </c>
      <c r="G80" s="22" t="s">
        <v>85</v>
      </c>
      <c r="H80" s="22" t="s">
        <v>80</v>
      </c>
      <c r="I80" s="23" t="s">
        <v>48</v>
      </c>
      <c r="J80" s="11"/>
      <c r="K80" s="29" t="str">
        <f>"140,0"</f>
        <v>140,0</v>
      </c>
      <c r="L80" s="11" t="str">
        <f>"101,1920"</f>
        <v>101,1920</v>
      </c>
      <c r="M80" s="10" t="s">
        <v>575</v>
      </c>
    </row>
    <row r="81" spans="1:13" ht="12.75">
      <c r="A81" s="11" t="s">
        <v>66</v>
      </c>
      <c r="B81" s="10" t="s">
        <v>576</v>
      </c>
      <c r="C81" s="10" t="s">
        <v>577</v>
      </c>
      <c r="D81" s="10" t="s">
        <v>392</v>
      </c>
      <c r="E81" s="10" t="str">
        <f>"0,7249"</f>
        <v>0,7249</v>
      </c>
      <c r="F81" s="41" t="s">
        <v>578</v>
      </c>
      <c r="G81" s="22" t="s">
        <v>85</v>
      </c>
      <c r="H81" s="22" t="s">
        <v>58</v>
      </c>
      <c r="I81" s="23" t="s">
        <v>80</v>
      </c>
      <c r="J81" s="11"/>
      <c r="K81" s="29" t="str">
        <f>"137,5"</f>
        <v>137,5</v>
      </c>
      <c r="L81" s="11" t="str">
        <f>"99,6738"</f>
        <v>99,6738</v>
      </c>
      <c r="M81" s="10" t="s">
        <v>53</v>
      </c>
    </row>
    <row r="82" spans="1:13" ht="12.75">
      <c r="A82" s="11" t="s">
        <v>69</v>
      </c>
      <c r="B82" s="10" t="s">
        <v>579</v>
      </c>
      <c r="C82" s="10" t="s">
        <v>580</v>
      </c>
      <c r="D82" s="10" t="s">
        <v>581</v>
      </c>
      <c r="E82" s="10" t="str">
        <f>"0,7235"</f>
        <v>0,7235</v>
      </c>
      <c r="F82" s="10" t="s">
        <v>55</v>
      </c>
      <c r="G82" s="22" t="s">
        <v>94</v>
      </c>
      <c r="H82" s="23" t="s">
        <v>33</v>
      </c>
      <c r="I82" s="23" t="s">
        <v>33</v>
      </c>
      <c r="J82" s="11"/>
      <c r="K82" s="29" t="str">
        <f>"107,5"</f>
        <v>107,5</v>
      </c>
      <c r="L82" s="11" t="str">
        <f>"77,7763"</f>
        <v>77,7763</v>
      </c>
      <c r="M82" s="10" t="s">
        <v>582</v>
      </c>
    </row>
    <row r="83" spans="1:13" ht="12.75">
      <c r="A83" s="11" t="s">
        <v>11</v>
      </c>
      <c r="B83" s="10" t="s">
        <v>583</v>
      </c>
      <c r="C83" s="10" t="s">
        <v>584</v>
      </c>
      <c r="D83" s="10" t="s">
        <v>114</v>
      </c>
      <c r="E83" s="10" t="str">
        <f>"0,7345"</f>
        <v>0,7345</v>
      </c>
      <c r="F83" s="10" t="s">
        <v>322</v>
      </c>
      <c r="G83" s="23" t="s">
        <v>85</v>
      </c>
      <c r="H83" s="23" t="s">
        <v>85</v>
      </c>
      <c r="I83" s="23" t="s">
        <v>85</v>
      </c>
      <c r="J83" s="11"/>
      <c r="K83" s="29">
        <v>0</v>
      </c>
      <c r="L83" s="11" t="str">
        <f>"0,0000"</f>
        <v>0,0000</v>
      </c>
      <c r="M83" s="10" t="s">
        <v>53</v>
      </c>
    </row>
    <row r="84" spans="1:13" ht="12.75">
      <c r="A84" s="11" t="s">
        <v>11</v>
      </c>
      <c r="B84" s="10" t="s">
        <v>585</v>
      </c>
      <c r="C84" s="10" t="s">
        <v>586</v>
      </c>
      <c r="D84" s="10" t="s">
        <v>141</v>
      </c>
      <c r="E84" s="10" t="str">
        <f>"0,7214"</f>
        <v>0,7214</v>
      </c>
      <c r="F84" s="41" t="s">
        <v>587</v>
      </c>
      <c r="G84" s="23" t="s">
        <v>85</v>
      </c>
      <c r="H84" s="23" t="s">
        <v>85</v>
      </c>
      <c r="I84" s="23" t="s">
        <v>85</v>
      </c>
      <c r="J84" s="11"/>
      <c r="K84" s="29">
        <v>0</v>
      </c>
      <c r="L84" s="11" t="str">
        <f>"0,0000"</f>
        <v>0,0000</v>
      </c>
      <c r="M84" s="10" t="s">
        <v>53</v>
      </c>
    </row>
    <row r="85" spans="1:13" ht="12.75">
      <c r="A85" s="11" t="s">
        <v>11</v>
      </c>
      <c r="B85" s="10" t="s">
        <v>588</v>
      </c>
      <c r="C85" s="10" t="s">
        <v>589</v>
      </c>
      <c r="D85" s="10" t="s">
        <v>141</v>
      </c>
      <c r="E85" s="10" t="str">
        <f>"0,7214"</f>
        <v>0,7214</v>
      </c>
      <c r="F85" s="10" t="s">
        <v>55</v>
      </c>
      <c r="G85" s="23" t="s">
        <v>51</v>
      </c>
      <c r="H85" s="23" t="s">
        <v>51</v>
      </c>
      <c r="I85" s="23" t="s">
        <v>51</v>
      </c>
      <c r="J85" s="11"/>
      <c r="K85" s="29">
        <v>0</v>
      </c>
      <c r="L85" s="11" t="str">
        <f>"0,0000"</f>
        <v>0,0000</v>
      </c>
      <c r="M85" s="10" t="s">
        <v>590</v>
      </c>
    </row>
    <row r="86" spans="1:13" ht="12.75">
      <c r="A86" s="11" t="s">
        <v>11</v>
      </c>
      <c r="B86" s="10" t="s">
        <v>591</v>
      </c>
      <c r="C86" s="10" t="s">
        <v>592</v>
      </c>
      <c r="D86" s="10" t="s">
        <v>328</v>
      </c>
      <c r="E86" s="10" t="str">
        <f>"0,7126"</f>
        <v>0,7126</v>
      </c>
      <c r="F86" s="10" t="s">
        <v>207</v>
      </c>
      <c r="G86" s="23" t="s">
        <v>85</v>
      </c>
      <c r="H86" s="23" t="s">
        <v>85</v>
      </c>
      <c r="I86" s="23" t="s">
        <v>85</v>
      </c>
      <c r="J86" s="11"/>
      <c r="K86" s="29">
        <v>0</v>
      </c>
      <c r="L86" s="11" t="str">
        <f>"0,0000"</f>
        <v>0,0000</v>
      </c>
      <c r="M86" s="10" t="s">
        <v>53</v>
      </c>
    </row>
    <row r="87" spans="1:13" ht="12.75">
      <c r="A87" s="11" t="s">
        <v>15</v>
      </c>
      <c r="B87" s="10" t="s">
        <v>570</v>
      </c>
      <c r="C87" s="10" t="s">
        <v>593</v>
      </c>
      <c r="D87" s="10" t="s">
        <v>572</v>
      </c>
      <c r="E87" s="10" t="str">
        <f>"0,7242"</f>
        <v>0,7242</v>
      </c>
      <c r="F87" s="10" t="s">
        <v>55</v>
      </c>
      <c r="G87" s="22" t="s">
        <v>63</v>
      </c>
      <c r="H87" s="22" t="s">
        <v>85</v>
      </c>
      <c r="I87" s="22" t="s">
        <v>80</v>
      </c>
      <c r="J87" s="11"/>
      <c r="K87" s="29" t="str">
        <f>"140,0"</f>
        <v>140,0</v>
      </c>
      <c r="L87" s="11" t="str">
        <f>"114,7712"</f>
        <v>114,7712</v>
      </c>
      <c r="M87" s="10" t="s">
        <v>53</v>
      </c>
    </row>
    <row r="88" spans="1:13" ht="12.75">
      <c r="A88" s="11" t="s">
        <v>39</v>
      </c>
      <c r="B88" s="10" t="s">
        <v>152</v>
      </c>
      <c r="C88" s="10" t="s">
        <v>153</v>
      </c>
      <c r="D88" s="10" t="s">
        <v>154</v>
      </c>
      <c r="E88" s="10" t="str">
        <f>"0,7159"</f>
        <v>0,7159</v>
      </c>
      <c r="F88" s="10" t="s">
        <v>155</v>
      </c>
      <c r="G88" s="23" t="s">
        <v>51</v>
      </c>
      <c r="H88" s="22" t="s">
        <v>51</v>
      </c>
      <c r="I88" s="23" t="s">
        <v>33</v>
      </c>
      <c r="J88" s="11"/>
      <c r="K88" s="29" t="str">
        <f>"110,0"</f>
        <v>110,0</v>
      </c>
      <c r="L88" s="11" t="str">
        <f>"78,7490"</f>
        <v>78,7490</v>
      </c>
      <c r="M88" s="10" t="s">
        <v>157</v>
      </c>
    </row>
    <row r="89" spans="1:13" ht="12.75">
      <c r="A89" s="11" t="s">
        <v>11</v>
      </c>
      <c r="B89" s="10" t="s">
        <v>594</v>
      </c>
      <c r="C89" s="10" t="s">
        <v>595</v>
      </c>
      <c r="D89" s="10" t="s">
        <v>596</v>
      </c>
      <c r="E89" s="10" t="str">
        <f>"0,7186"</f>
        <v>0,7186</v>
      </c>
      <c r="F89" s="10" t="s">
        <v>285</v>
      </c>
      <c r="G89" s="23" t="s">
        <v>52</v>
      </c>
      <c r="H89" s="23" t="s">
        <v>52</v>
      </c>
      <c r="I89" s="11"/>
      <c r="J89" s="11"/>
      <c r="K89" s="29">
        <v>0</v>
      </c>
      <c r="L89" s="11" t="str">
        <f>"0,0000"</f>
        <v>0,0000</v>
      </c>
      <c r="M89" s="10" t="s">
        <v>53</v>
      </c>
    </row>
    <row r="90" spans="1:13" ht="12.75">
      <c r="A90" s="13" t="s">
        <v>15</v>
      </c>
      <c r="B90" s="12" t="s">
        <v>597</v>
      </c>
      <c r="C90" s="12" t="s">
        <v>598</v>
      </c>
      <c r="D90" s="12" t="s">
        <v>261</v>
      </c>
      <c r="E90" s="12" t="str">
        <f>"0,7300"</f>
        <v>0,7300</v>
      </c>
      <c r="F90" s="40" t="s">
        <v>599</v>
      </c>
      <c r="G90" s="24" t="s">
        <v>19</v>
      </c>
      <c r="H90" s="24" t="s">
        <v>43</v>
      </c>
      <c r="I90" s="24" t="s">
        <v>23</v>
      </c>
      <c r="J90" s="13"/>
      <c r="K90" s="28" t="str">
        <f>"95,0"</f>
        <v>95,0</v>
      </c>
      <c r="L90" s="13" t="str">
        <f>"108,5328"</f>
        <v>108,5328</v>
      </c>
      <c r="M90" s="12" t="s">
        <v>600</v>
      </c>
    </row>
    <row r="91" ht="12.75">
      <c r="B91" s="4" t="s">
        <v>26</v>
      </c>
    </row>
    <row r="92" spans="1:10" ht="15">
      <c r="A92" s="45" t="s">
        <v>115</v>
      </c>
      <c r="B92" s="45"/>
      <c r="C92" s="45"/>
      <c r="D92" s="45"/>
      <c r="E92" s="45"/>
      <c r="F92" s="45"/>
      <c r="G92" s="45"/>
      <c r="H92" s="45"/>
      <c r="I92" s="45"/>
      <c r="J92" s="45"/>
    </row>
    <row r="93" spans="1:13" ht="12.75">
      <c r="A93" s="9" t="s">
        <v>15</v>
      </c>
      <c r="B93" s="8" t="s">
        <v>601</v>
      </c>
      <c r="C93" s="8" t="s">
        <v>602</v>
      </c>
      <c r="D93" s="8" t="s">
        <v>353</v>
      </c>
      <c r="E93" s="8" t="str">
        <f>"0,6699"</f>
        <v>0,6699</v>
      </c>
      <c r="F93" s="39" t="s">
        <v>603</v>
      </c>
      <c r="G93" s="20" t="s">
        <v>116</v>
      </c>
      <c r="H93" s="20" t="s">
        <v>117</v>
      </c>
      <c r="I93" s="21" t="s">
        <v>120</v>
      </c>
      <c r="J93" s="9"/>
      <c r="K93" s="27" t="str">
        <f>"170,0"</f>
        <v>170,0</v>
      </c>
      <c r="L93" s="9" t="str">
        <f>"113,8830"</f>
        <v>113,8830</v>
      </c>
      <c r="M93" s="8" t="s">
        <v>604</v>
      </c>
    </row>
    <row r="94" spans="1:13" ht="12.75">
      <c r="A94" s="11" t="s">
        <v>39</v>
      </c>
      <c r="B94" s="10" t="s">
        <v>605</v>
      </c>
      <c r="C94" s="10" t="s">
        <v>606</v>
      </c>
      <c r="D94" s="10" t="s">
        <v>607</v>
      </c>
      <c r="E94" s="10" t="str">
        <f>"0,6822"</f>
        <v>0,6822</v>
      </c>
      <c r="F94" s="10" t="s">
        <v>17</v>
      </c>
      <c r="G94" s="22" t="s">
        <v>61</v>
      </c>
      <c r="H94" s="22" t="s">
        <v>87</v>
      </c>
      <c r="I94" s="22" t="s">
        <v>47</v>
      </c>
      <c r="J94" s="11"/>
      <c r="K94" s="29" t="str">
        <f>"132,5"</f>
        <v>132,5</v>
      </c>
      <c r="L94" s="11" t="str">
        <f>"90,3915"</f>
        <v>90,3915</v>
      </c>
      <c r="M94" s="10" t="s">
        <v>25</v>
      </c>
    </row>
    <row r="95" spans="1:13" ht="12.75">
      <c r="A95" s="11" t="s">
        <v>49</v>
      </c>
      <c r="B95" s="10" t="s">
        <v>608</v>
      </c>
      <c r="C95" s="10" t="s">
        <v>609</v>
      </c>
      <c r="D95" s="10" t="s">
        <v>610</v>
      </c>
      <c r="E95" s="10" t="str">
        <f>"0,6754"</f>
        <v>0,6754</v>
      </c>
      <c r="F95" s="10" t="s">
        <v>55</v>
      </c>
      <c r="G95" s="22" t="s">
        <v>61</v>
      </c>
      <c r="H95" s="22" t="s">
        <v>87</v>
      </c>
      <c r="I95" s="22" t="s">
        <v>63</v>
      </c>
      <c r="J95" s="11"/>
      <c r="K95" s="29" t="str">
        <f>"130,0"</f>
        <v>130,0</v>
      </c>
      <c r="L95" s="11" t="str">
        <f>"87,8020"</f>
        <v>87,8020</v>
      </c>
      <c r="M95" s="10" t="s">
        <v>611</v>
      </c>
    </row>
    <row r="96" spans="1:13" ht="12.75">
      <c r="A96" s="11" t="s">
        <v>65</v>
      </c>
      <c r="B96" s="10" t="s">
        <v>612</v>
      </c>
      <c r="C96" s="10" t="s">
        <v>613</v>
      </c>
      <c r="D96" s="10" t="s">
        <v>614</v>
      </c>
      <c r="E96" s="10" t="str">
        <f>"0,7093"</f>
        <v>0,7093</v>
      </c>
      <c r="F96" s="41" t="s">
        <v>615</v>
      </c>
      <c r="G96" s="22" t="s">
        <v>50</v>
      </c>
      <c r="H96" s="22" t="s">
        <v>94</v>
      </c>
      <c r="I96" s="23" t="s">
        <v>51</v>
      </c>
      <c r="J96" s="11"/>
      <c r="K96" s="29" t="str">
        <f>"107,5"</f>
        <v>107,5</v>
      </c>
      <c r="L96" s="11" t="str">
        <f>"76,2497"</f>
        <v>76,2497</v>
      </c>
      <c r="M96" s="10" t="s">
        <v>616</v>
      </c>
    </row>
    <row r="97" spans="1:13" ht="12.75">
      <c r="A97" s="11" t="s">
        <v>15</v>
      </c>
      <c r="B97" s="10" t="s">
        <v>617</v>
      </c>
      <c r="C97" s="10" t="s">
        <v>618</v>
      </c>
      <c r="D97" s="10" t="s">
        <v>160</v>
      </c>
      <c r="E97" s="10" t="str">
        <f>"0,6785"</f>
        <v>0,6785</v>
      </c>
      <c r="F97" s="10" t="s">
        <v>161</v>
      </c>
      <c r="G97" s="22" t="s">
        <v>61</v>
      </c>
      <c r="H97" s="23" t="s">
        <v>47</v>
      </c>
      <c r="I97" s="23" t="s">
        <v>47</v>
      </c>
      <c r="J97" s="11"/>
      <c r="K97" s="29" t="str">
        <f>"120,0"</f>
        <v>120,0</v>
      </c>
      <c r="L97" s="11" t="str">
        <f>"81,4200"</f>
        <v>81,4200</v>
      </c>
      <c r="M97" s="10" t="s">
        <v>216</v>
      </c>
    </row>
    <row r="98" spans="1:13" ht="12.75">
      <c r="A98" s="11" t="s">
        <v>15</v>
      </c>
      <c r="B98" s="10" t="s">
        <v>163</v>
      </c>
      <c r="C98" s="10" t="s">
        <v>164</v>
      </c>
      <c r="D98" s="10" t="s">
        <v>165</v>
      </c>
      <c r="E98" s="10" t="str">
        <f>"0,6800"</f>
        <v>0,6800</v>
      </c>
      <c r="F98" s="10" t="s">
        <v>166</v>
      </c>
      <c r="G98" s="22" t="s">
        <v>117</v>
      </c>
      <c r="H98" s="22" t="s">
        <v>120</v>
      </c>
      <c r="I98" s="23" t="s">
        <v>167</v>
      </c>
      <c r="J98" s="11"/>
      <c r="K98" s="29" t="str">
        <f>"175,0"</f>
        <v>175,0</v>
      </c>
      <c r="L98" s="11" t="str">
        <f>"119,0000"</f>
        <v>119,0000</v>
      </c>
      <c r="M98" s="10" t="s">
        <v>53</v>
      </c>
    </row>
    <row r="99" spans="1:13" ht="12.75">
      <c r="A99" s="11" t="s">
        <v>39</v>
      </c>
      <c r="B99" s="10" t="s">
        <v>619</v>
      </c>
      <c r="C99" s="10" t="s">
        <v>620</v>
      </c>
      <c r="D99" s="10" t="s">
        <v>172</v>
      </c>
      <c r="E99" s="10" t="str">
        <f>"0,6774"</f>
        <v>0,6774</v>
      </c>
      <c r="F99" s="41" t="s">
        <v>621</v>
      </c>
      <c r="G99" s="22" t="s">
        <v>116</v>
      </c>
      <c r="H99" s="23" t="s">
        <v>117</v>
      </c>
      <c r="I99" s="23" t="s">
        <v>117</v>
      </c>
      <c r="J99" s="11"/>
      <c r="K99" s="29" t="str">
        <f>"165,0"</f>
        <v>165,0</v>
      </c>
      <c r="L99" s="11" t="str">
        <f>"111,7710"</f>
        <v>111,7710</v>
      </c>
      <c r="M99" s="10" t="s">
        <v>53</v>
      </c>
    </row>
    <row r="100" spans="1:13" ht="12.75">
      <c r="A100" s="11" t="s">
        <v>49</v>
      </c>
      <c r="B100" s="10" t="s">
        <v>622</v>
      </c>
      <c r="C100" s="10" t="s">
        <v>623</v>
      </c>
      <c r="D100" s="10" t="s">
        <v>158</v>
      </c>
      <c r="E100" s="10" t="str">
        <f>"0,6724"</f>
        <v>0,6724</v>
      </c>
      <c r="F100" s="41" t="s">
        <v>624</v>
      </c>
      <c r="G100" s="23" t="s">
        <v>38</v>
      </c>
      <c r="H100" s="23" t="s">
        <v>38</v>
      </c>
      <c r="I100" s="22" t="s">
        <v>38</v>
      </c>
      <c r="J100" s="11"/>
      <c r="K100" s="29" t="str">
        <f>"155,0"</f>
        <v>155,0</v>
      </c>
      <c r="L100" s="11" t="str">
        <f>"104,2220"</f>
        <v>104,2220</v>
      </c>
      <c r="M100" s="10" t="s">
        <v>53</v>
      </c>
    </row>
    <row r="101" spans="1:13" ht="12.75">
      <c r="A101" s="11" t="s">
        <v>65</v>
      </c>
      <c r="B101" s="10" t="s">
        <v>393</v>
      </c>
      <c r="C101" s="10" t="s">
        <v>394</v>
      </c>
      <c r="D101" s="10" t="s">
        <v>395</v>
      </c>
      <c r="E101" s="10" t="str">
        <f>"0,6816"</f>
        <v>0,6816</v>
      </c>
      <c r="F101" s="10" t="s">
        <v>281</v>
      </c>
      <c r="G101" s="22" t="s">
        <v>80</v>
      </c>
      <c r="H101" s="22" t="s">
        <v>36</v>
      </c>
      <c r="I101" s="23" t="s">
        <v>156</v>
      </c>
      <c r="J101" s="11"/>
      <c r="K101" s="29" t="str">
        <f>"145,0"</f>
        <v>145,0</v>
      </c>
      <c r="L101" s="11" t="str">
        <f>"98,8320"</f>
        <v>98,8320</v>
      </c>
      <c r="M101" s="10" t="s">
        <v>53</v>
      </c>
    </row>
    <row r="102" spans="1:13" ht="12.75">
      <c r="A102" s="11" t="s">
        <v>66</v>
      </c>
      <c r="B102" s="10" t="s">
        <v>625</v>
      </c>
      <c r="C102" s="10" t="s">
        <v>626</v>
      </c>
      <c r="D102" s="10" t="s">
        <v>627</v>
      </c>
      <c r="E102" s="10" t="str">
        <f>"0,6957"</f>
        <v>0,6957</v>
      </c>
      <c r="F102" s="10" t="s">
        <v>55</v>
      </c>
      <c r="G102" s="22" t="s">
        <v>58</v>
      </c>
      <c r="H102" s="23" t="s">
        <v>36</v>
      </c>
      <c r="I102" s="23" t="s">
        <v>36</v>
      </c>
      <c r="J102" s="11"/>
      <c r="K102" s="29" t="str">
        <f>"137,5"</f>
        <v>137,5</v>
      </c>
      <c r="L102" s="11" t="str">
        <f>"95,6587"</f>
        <v>95,6587</v>
      </c>
      <c r="M102" s="10" t="s">
        <v>590</v>
      </c>
    </row>
    <row r="103" spans="1:13" ht="12.75">
      <c r="A103" s="11" t="s">
        <v>69</v>
      </c>
      <c r="B103" s="10" t="s">
        <v>628</v>
      </c>
      <c r="C103" s="10" t="s">
        <v>629</v>
      </c>
      <c r="D103" s="10" t="s">
        <v>630</v>
      </c>
      <c r="E103" s="10" t="str">
        <f>"0,6790"</f>
        <v>0,6790</v>
      </c>
      <c r="F103" s="10" t="s">
        <v>55</v>
      </c>
      <c r="G103" s="22" t="s">
        <v>85</v>
      </c>
      <c r="H103" s="23" t="s">
        <v>36</v>
      </c>
      <c r="I103" s="23" t="s">
        <v>36</v>
      </c>
      <c r="J103" s="11"/>
      <c r="K103" s="29" t="str">
        <f>"135,0"</f>
        <v>135,0</v>
      </c>
      <c r="L103" s="11" t="str">
        <f>"91,6650"</f>
        <v>91,6650</v>
      </c>
      <c r="M103" s="10" t="s">
        <v>631</v>
      </c>
    </row>
    <row r="104" spans="1:13" ht="12.75">
      <c r="A104" s="11" t="s">
        <v>175</v>
      </c>
      <c r="B104" s="10" t="s">
        <v>632</v>
      </c>
      <c r="C104" s="10" t="s">
        <v>633</v>
      </c>
      <c r="D104" s="10" t="s">
        <v>168</v>
      </c>
      <c r="E104" s="10" t="str">
        <f>"0,6744"</f>
        <v>0,6744</v>
      </c>
      <c r="F104" s="10" t="s">
        <v>55</v>
      </c>
      <c r="G104" s="22" t="s">
        <v>85</v>
      </c>
      <c r="H104" s="23" t="s">
        <v>80</v>
      </c>
      <c r="I104" s="23" t="s">
        <v>80</v>
      </c>
      <c r="J104" s="11"/>
      <c r="K104" s="29" t="str">
        <f>"135,0"</f>
        <v>135,0</v>
      </c>
      <c r="L104" s="11" t="str">
        <f>"91,0440"</f>
        <v>91,0440</v>
      </c>
      <c r="M104" s="10" t="s">
        <v>53</v>
      </c>
    </row>
    <row r="105" spans="1:13" ht="12.75">
      <c r="A105" s="11" t="s">
        <v>187</v>
      </c>
      <c r="B105" s="10" t="s">
        <v>634</v>
      </c>
      <c r="C105" s="10" t="s">
        <v>635</v>
      </c>
      <c r="D105" s="10" t="s">
        <v>636</v>
      </c>
      <c r="E105" s="10" t="str">
        <f>"0,6739"</f>
        <v>0,6739</v>
      </c>
      <c r="F105" s="10" t="s">
        <v>101</v>
      </c>
      <c r="G105" s="22" t="s">
        <v>62</v>
      </c>
      <c r="H105" s="22" t="s">
        <v>63</v>
      </c>
      <c r="I105" s="22" t="s">
        <v>47</v>
      </c>
      <c r="J105" s="11"/>
      <c r="K105" s="29" t="str">
        <f>"132,5"</f>
        <v>132,5</v>
      </c>
      <c r="L105" s="11" t="str">
        <f>"89,2918"</f>
        <v>89,2918</v>
      </c>
      <c r="M105" s="10" t="s">
        <v>637</v>
      </c>
    </row>
    <row r="106" spans="1:13" ht="12.75">
      <c r="A106" s="11" t="s">
        <v>298</v>
      </c>
      <c r="B106" s="10" t="s">
        <v>638</v>
      </c>
      <c r="C106" s="10" t="s">
        <v>639</v>
      </c>
      <c r="D106" s="10" t="s">
        <v>174</v>
      </c>
      <c r="E106" s="10" t="str">
        <f>"0,6704"</f>
        <v>0,6704</v>
      </c>
      <c r="F106" s="10" t="s">
        <v>55</v>
      </c>
      <c r="G106" s="22" t="s">
        <v>63</v>
      </c>
      <c r="H106" s="23" t="s">
        <v>85</v>
      </c>
      <c r="I106" s="23" t="s">
        <v>85</v>
      </c>
      <c r="J106" s="11"/>
      <c r="K106" s="29" t="str">
        <f>"130,0"</f>
        <v>130,0</v>
      </c>
      <c r="L106" s="11" t="str">
        <f>"87,1520"</f>
        <v>87,1520</v>
      </c>
      <c r="M106" s="10" t="s">
        <v>53</v>
      </c>
    </row>
    <row r="107" spans="1:13" ht="12.75">
      <c r="A107" s="11" t="s">
        <v>300</v>
      </c>
      <c r="B107" s="10" t="s">
        <v>640</v>
      </c>
      <c r="C107" s="10" t="s">
        <v>641</v>
      </c>
      <c r="D107" s="10" t="s">
        <v>273</v>
      </c>
      <c r="E107" s="10" t="str">
        <f>"0,6709"</f>
        <v>0,6709</v>
      </c>
      <c r="F107" s="41" t="s">
        <v>642</v>
      </c>
      <c r="G107" s="23" t="s">
        <v>50</v>
      </c>
      <c r="H107" s="22" t="s">
        <v>50</v>
      </c>
      <c r="I107" s="23" t="s">
        <v>52</v>
      </c>
      <c r="J107" s="11"/>
      <c r="K107" s="29" t="str">
        <f>"105,0"</f>
        <v>105,0</v>
      </c>
      <c r="L107" s="11" t="str">
        <f>"70,4445"</f>
        <v>70,4445</v>
      </c>
      <c r="M107" s="10" t="s">
        <v>643</v>
      </c>
    </row>
    <row r="108" spans="1:13" ht="12.75">
      <c r="A108" s="11" t="s">
        <v>11</v>
      </c>
      <c r="B108" s="10" t="s">
        <v>644</v>
      </c>
      <c r="C108" s="10" t="s">
        <v>645</v>
      </c>
      <c r="D108" s="10" t="s">
        <v>646</v>
      </c>
      <c r="E108" s="10" t="str">
        <f>"0,6806"</f>
        <v>0,6806</v>
      </c>
      <c r="F108" s="10" t="s">
        <v>55</v>
      </c>
      <c r="G108" s="23" t="s">
        <v>46</v>
      </c>
      <c r="H108" s="23" t="s">
        <v>87</v>
      </c>
      <c r="I108" s="23" t="s">
        <v>87</v>
      </c>
      <c r="J108" s="11"/>
      <c r="K108" s="29">
        <v>0</v>
      </c>
      <c r="L108" s="11" t="str">
        <f>"0,0000"</f>
        <v>0,0000</v>
      </c>
      <c r="M108" s="10" t="s">
        <v>53</v>
      </c>
    </row>
    <row r="109" spans="1:13" ht="12.75">
      <c r="A109" s="11" t="s">
        <v>11</v>
      </c>
      <c r="B109" s="10" t="s">
        <v>647</v>
      </c>
      <c r="C109" s="10" t="s">
        <v>648</v>
      </c>
      <c r="D109" s="10" t="s">
        <v>649</v>
      </c>
      <c r="E109" s="10" t="str">
        <f>"0,6795"</f>
        <v>0,6795</v>
      </c>
      <c r="F109" s="10" t="s">
        <v>161</v>
      </c>
      <c r="G109" s="23" t="s">
        <v>58</v>
      </c>
      <c r="H109" s="23" t="s">
        <v>36</v>
      </c>
      <c r="I109" s="23" t="s">
        <v>36</v>
      </c>
      <c r="J109" s="11"/>
      <c r="K109" s="29">
        <v>0</v>
      </c>
      <c r="L109" s="11" t="str">
        <f>"0,0000"</f>
        <v>0,0000</v>
      </c>
      <c r="M109" s="10" t="s">
        <v>590</v>
      </c>
    </row>
    <row r="110" spans="1:13" ht="12.75">
      <c r="A110" s="11" t="s">
        <v>11</v>
      </c>
      <c r="B110" s="10" t="s">
        <v>650</v>
      </c>
      <c r="C110" s="10" t="s">
        <v>651</v>
      </c>
      <c r="D110" s="10" t="s">
        <v>353</v>
      </c>
      <c r="E110" s="10" t="str">
        <f>"0,6699"</f>
        <v>0,6699</v>
      </c>
      <c r="F110" s="10" t="s">
        <v>299</v>
      </c>
      <c r="G110" s="23" t="s">
        <v>38</v>
      </c>
      <c r="H110" s="23" t="s">
        <v>38</v>
      </c>
      <c r="I110" s="23" t="s">
        <v>38</v>
      </c>
      <c r="J110" s="11"/>
      <c r="K110" s="29">
        <v>0</v>
      </c>
      <c r="L110" s="11" t="str">
        <f>"0,0000"</f>
        <v>0,0000</v>
      </c>
      <c r="M110" s="10" t="s">
        <v>53</v>
      </c>
    </row>
    <row r="111" spans="1:13" ht="12.75">
      <c r="A111" s="11" t="s">
        <v>11</v>
      </c>
      <c r="B111" s="10" t="s">
        <v>652</v>
      </c>
      <c r="C111" s="10" t="s">
        <v>653</v>
      </c>
      <c r="D111" s="10" t="s">
        <v>353</v>
      </c>
      <c r="E111" s="10" t="str">
        <f>"0,6699"</f>
        <v>0,6699</v>
      </c>
      <c r="F111" s="10" t="s">
        <v>64</v>
      </c>
      <c r="G111" s="23" t="s">
        <v>37</v>
      </c>
      <c r="H111" s="23" t="s">
        <v>37</v>
      </c>
      <c r="I111" s="23" t="s">
        <v>95</v>
      </c>
      <c r="J111" s="11"/>
      <c r="K111" s="29">
        <v>0</v>
      </c>
      <c r="L111" s="11" t="str">
        <f>"0,0000"</f>
        <v>0,0000</v>
      </c>
      <c r="M111" s="10" t="s">
        <v>654</v>
      </c>
    </row>
    <row r="112" spans="1:13" ht="12.75">
      <c r="A112" s="11" t="s">
        <v>15</v>
      </c>
      <c r="B112" s="10" t="s">
        <v>163</v>
      </c>
      <c r="C112" s="10" t="s">
        <v>178</v>
      </c>
      <c r="D112" s="10" t="s">
        <v>165</v>
      </c>
      <c r="E112" s="10" t="str">
        <f>"0,6800"</f>
        <v>0,6800</v>
      </c>
      <c r="F112" s="10" t="s">
        <v>166</v>
      </c>
      <c r="G112" s="22" t="s">
        <v>117</v>
      </c>
      <c r="H112" s="22" t="s">
        <v>120</v>
      </c>
      <c r="I112" s="23" t="s">
        <v>167</v>
      </c>
      <c r="J112" s="11"/>
      <c r="K112" s="29" t="str">
        <f>"175,0"</f>
        <v>175,0</v>
      </c>
      <c r="L112" s="11" t="str">
        <f>"119,0000"</f>
        <v>119,0000</v>
      </c>
      <c r="M112" s="10" t="s">
        <v>53</v>
      </c>
    </row>
    <row r="113" spans="1:13" ht="12.75">
      <c r="A113" s="11" t="s">
        <v>39</v>
      </c>
      <c r="B113" s="10" t="s">
        <v>655</v>
      </c>
      <c r="C113" s="10" t="s">
        <v>656</v>
      </c>
      <c r="D113" s="10" t="s">
        <v>607</v>
      </c>
      <c r="E113" s="10" t="str">
        <f>"0,6822"</f>
        <v>0,6822</v>
      </c>
      <c r="F113" s="10" t="s">
        <v>285</v>
      </c>
      <c r="G113" s="22" t="s">
        <v>95</v>
      </c>
      <c r="H113" s="23" t="s">
        <v>116</v>
      </c>
      <c r="I113" s="23" t="s">
        <v>116</v>
      </c>
      <c r="J113" s="11"/>
      <c r="K113" s="29" t="str">
        <f>"160,0"</f>
        <v>160,0</v>
      </c>
      <c r="L113" s="11" t="str">
        <f>"123,5601"</f>
        <v>123,5601</v>
      </c>
      <c r="M113" s="10" t="s">
        <v>53</v>
      </c>
    </row>
    <row r="114" spans="1:13" ht="12.75">
      <c r="A114" s="11" t="s">
        <v>49</v>
      </c>
      <c r="B114" s="10" t="s">
        <v>657</v>
      </c>
      <c r="C114" s="10" t="s">
        <v>658</v>
      </c>
      <c r="D114" s="10" t="s">
        <v>353</v>
      </c>
      <c r="E114" s="10" t="str">
        <f>"0,6699"</f>
        <v>0,6699</v>
      </c>
      <c r="F114" s="41" t="s">
        <v>659</v>
      </c>
      <c r="G114" s="23" t="s">
        <v>85</v>
      </c>
      <c r="H114" s="22" t="s">
        <v>85</v>
      </c>
      <c r="I114" s="22" t="s">
        <v>80</v>
      </c>
      <c r="J114" s="11"/>
      <c r="K114" s="29" t="str">
        <f>"140,0"</f>
        <v>140,0</v>
      </c>
      <c r="L114" s="11" t="str">
        <f>"99,4132"</f>
        <v>99,4132</v>
      </c>
      <c r="M114" s="10" t="s">
        <v>53</v>
      </c>
    </row>
    <row r="115" spans="1:13" ht="12.75">
      <c r="A115" s="11" t="s">
        <v>65</v>
      </c>
      <c r="B115" s="10" t="s">
        <v>660</v>
      </c>
      <c r="C115" s="10" t="s">
        <v>661</v>
      </c>
      <c r="D115" s="10" t="s">
        <v>160</v>
      </c>
      <c r="E115" s="10" t="str">
        <f>"0,6785"</f>
        <v>0,6785</v>
      </c>
      <c r="F115" s="10" t="s">
        <v>55</v>
      </c>
      <c r="G115" s="22" t="s">
        <v>61</v>
      </c>
      <c r="H115" s="22" t="s">
        <v>46</v>
      </c>
      <c r="I115" s="22" t="s">
        <v>87</v>
      </c>
      <c r="J115" s="11"/>
      <c r="K115" s="29" t="str">
        <f>"127,5"</f>
        <v>127,5</v>
      </c>
      <c r="L115" s="11" t="str">
        <f>"86,5087"</f>
        <v>86,5087</v>
      </c>
      <c r="M115" s="10" t="s">
        <v>53</v>
      </c>
    </row>
    <row r="116" spans="1:13" ht="12.75">
      <c r="A116" s="11" t="s">
        <v>15</v>
      </c>
      <c r="B116" s="10" t="s">
        <v>662</v>
      </c>
      <c r="C116" s="10" t="s">
        <v>663</v>
      </c>
      <c r="D116" s="10" t="s">
        <v>664</v>
      </c>
      <c r="E116" s="10" t="str">
        <f>"0,7080"</f>
        <v>0,7080</v>
      </c>
      <c r="F116" s="10" t="s">
        <v>142</v>
      </c>
      <c r="G116" s="22" t="s">
        <v>87</v>
      </c>
      <c r="H116" s="22" t="s">
        <v>63</v>
      </c>
      <c r="I116" s="23" t="s">
        <v>47</v>
      </c>
      <c r="J116" s="11"/>
      <c r="K116" s="29" t="str">
        <f>"130,0"</f>
        <v>130,0</v>
      </c>
      <c r="L116" s="11" t="str">
        <f>"119,3759"</f>
        <v>119,3759</v>
      </c>
      <c r="M116" s="10" t="s">
        <v>665</v>
      </c>
    </row>
    <row r="117" spans="1:13" ht="12.75">
      <c r="A117" s="13" t="s">
        <v>15</v>
      </c>
      <c r="B117" s="12" t="s">
        <v>666</v>
      </c>
      <c r="C117" s="12" t="s">
        <v>667</v>
      </c>
      <c r="D117" s="12" t="s">
        <v>160</v>
      </c>
      <c r="E117" s="12" t="str">
        <f>"0,6785"</f>
        <v>0,6785</v>
      </c>
      <c r="F117" s="12" t="s">
        <v>166</v>
      </c>
      <c r="G117" s="24" t="s">
        <v>668</v>
      </c>
      <c r="H117" s="24" t="s">
        <v>32</v>
      </c>
      <c r="I117" s="24" t="s">
        <v>61</v>
      </c>
      <c r="J117" s="13"/>
      <c r="K117" s="28" t="str">
        <f>"120,0"</f>
        <v>120,0</v>
      </c>
      <c r="L117" s="13" t="str">
        <f>"157,9548"</f>
        <v>157,9548</v>
      </c>
      <c r="M117" s="12" t="s">
        <v>53</v>
      </c>
    </row>
    <row r="118" ht="12.75">
      <c r="B118" s="4" t="s">
        <v>26</v>
      </c>
    </row>
    <row r="119" spans="1:10" ht="15">
      <c r="A119" s="45" t="s">
        <v>118</v>
      </c>
      <c r="B119" s="45"/>
      <c r="C119" s="45"/>
      <c r="D119" s="45"/>
      <c r="E119" s="45"/>
      <c r="F119" s="45"/>
      <c r="G119" s="45"/>
      <c r="H119" s="45"/>
      <c r="I119" s="45"/>
      <c r="J119" s="45"/>
    </row>
    <row r="120" spans="1:13" ht="12.75">
      <c r="A120" s="9" t="s">
        <v>11</v>
      </c>
      <c r="B120" s="8" t="s">
        <v>669</v>
      </c>
      <c r="C120" s="8" t="s">
        <v>670</v>
      </c>
      <c r="D120" s="8" t="s">
        <v>185</v>
      </c>
      <c r="E120" s="8" t="str">
        <f>"0,6402"</f>
        <v>0,6402</v>
      </c>
      <c r="F120" s="8" t="s">
        <v>329</v>
      </c>
      <c r="G120" s="21" t="s">
        <v>167</v>
      </c>
      <c r="H120" s="21" t="s">
        <v>167</v>
      </c>
      <c r="I120" s="21" t="s">
        <v>167</v>
      </c>
      <c r="J120" s="9"/>
      <c r="K120" s="27">
        <v>0</v>
      </c>
      <c r="L120" s="9" t="str">
        <f>"0,0000"</f>
        <v>0,0000</v>
      </c>
      <c r="M120" s="8" t="s">
        <v>671</v>
      </c>
    </row>
    <row r="121" spans="1:13" ht="12.75">
      <c r="A121" s="11" t="s">
        <v>15</v>
      </c>
      <c r="B121" s="10" t="s">
        <v>672</v>
      </c>
      <c r="C121" s="10" t="s">
        <v>673</v>
      </c>
      <c r="D121" s="10" t="s">
        <v>674</v>
      </c>
      <c r="E121" s="10" t="str">
        <f>"0,6388"</f>
        <v>0,6388</v>
      </c>
      <c r="F121" s="41" t="s">
        <v>675</v>
      </c>
      <c r="G121" s="22" t="s">
        <v>85</v>
      </c>
      <c r="H121" s="22" t="s">
        <v>36</v>
      </c>
      <c r="I121" s="23" t="s">
        <v>86</v>
      </c>
      <c r="J121" s="11"/>
      <c r="K121" s="29" t="str">
        <f>"145,0"</f>
        <v>145,0</v>
      </c>
      <c r="L121" s="11" t="str">
        <f>"92,6260"</f>
        <v>92,6260</v>
      </c>
      <c r="M121" s="10" t="s">
        <v>676</v>
      </c>
    </row>
    <row r="122" spans="1:13" ht="12.75">
      <c r="A122" s="11" t="s">
        <v>39</v>
      </c>
      <c r="B122" s="10" t="s">
        <v>677</v>
      </c>
      <c r="C122" s="10" t="s">
        <v>678</v>
      </c>
      <c r="D122" s="10" t="s">
        <v>679</v>
      </c>
      <c r="E122" s="10" t="str">
        <f>"0,6528"</f>
        <v>0,6528</v>
      </c>
      <c r="F122" s="10" t="s">
        <v>55</v>
      </c>
      <c r="G122" s="22" t="s">
        <v>80</v>
      </c>
      <c r="H122" s="23" t="s">
        <v>156</v>
      </c>
      <c r="I122" s="23" t="s">
        <v>86</v>
      </c>
      <c r="J122" s="11"/>
      <c r="K122" s="29" t="str">
        <f>"140,0"</f>
        <v>140,0</v>
      </c>
      <c r="L122" s="11" t="str">
        <f>"91,3920"</f>
        <v>91,3920</v>
      </c>
      <c r="M122" s="10" t="s">
        <v>680</v>
      </c>
    </row>
    <row r="123" spans="1:13" ht="12.75">
      <c r="A123" s="11" t="s">
        <v>15</v>
      </c>
      <c r="B123" s="10" t="s">
        <v>681</v>
      </c>
      <c r="C123" s="10" t="s">
        <v>682</v>
      </c>
      <c r="D123" s="10" t="s">
        <v>683</v>
      </c>
      <c r="E123" s="10" t="str">
        <f>"0,6447"</f>
        <v>0,6447</v>
      </c>
      <c r="F123" s="10" t="s">
        <v>55</v>
      </c>
      <c r="G123" s="22" t="s">
        <v>47</v>
      </c>
      <c r="H123" s="23" t="s">
        <v>58</v>
      </c>
      <c r="I123" s="22" t="s">
        <v>58</v>
      </c>
      <c r="J123" s="11"/>
      <c r="K123" s="29" t="str">
        <f>"137,5"</f>
        <v>137,5</v>
      </c>
      <c r="L123" s="11" t="str">
        <f>"88,6462"</f>
        <v>88,6462</v>
      </c>
      <c r="M123" s="10" t="s">
        <v>53</v>
      </c>
    </row>
    <row r="124" spans="1:13" ht="12.75">
      <c r="A124" s="11" t="s">
        <v>11</v>
      </c>
      <c r="B124" s="10" t="s">
        <v>684</v>
      </c>
      <c r="C124" s="10" t="s">
        <v>685</v>
      </c>
      <c r="D124" s="10" t="s">
        <v>686</v>
      </c>
      <c r="E124" s="10" t="str">
        <f>"0,6628"</f>
        <v>0,6628</v>
      </c>
      <c r="F124" s="41" t="s">
        <v>687</v>
      </c>
      <c r="G124" s="23" t="s">
        <v>63</v>
      </c>
      <c r="H124" s="23" t="s">
        <v>63</v>
      </c>
      <c r="I124" s="23" t="s">
        <v>63</v>
      </c>
      <c r="J124" s="11"/>
      <c r="K124" s="29">
        <v>0</v>
      </c>
      <c r="L124" s="11" t="str">
        <f>"0,0000"</f>
        <v>0,0000</v>
      </c>
      <c r="M124" s="10" t="s">
        <v>53</v>
      </c>
    </row>
    <row r="125" spans="1:13" ht="12.75">
      <c r="A125" s="11" t="s">
        <v>15</v>
      </c>
      <c r="B125" s="10" t="s">
        <v>688</v>
      </c>
      <c r="C125" s="10" t="s">
        <v>689</v>
      </c>
      <c r="D125" s="10" t="s">
        <v>674</v>
      </c>
      <c r="E125" s="10" t="str">
        <f>"0,6388"</f>
        <v>0,6388</v>
      </c>
      <c r="F125" s="10" t="s">
        <v>55</v>
      </c>
      <c r="G125" s="22" t="s">
        <v>117</v>
      </c>
      <c r="H125" s="22" t="s">
        <v>126</v>
      </c>
      <c r="I125" s="22" t="s">
        <v>365</v>
      </c>
      <c r="J125" s="11"/>
      <c r="K125" s="29" t="str">
        <f>"187,5"</f>
        <v>187,5</v>
      </c>
      <c r="L125" s="11" t="str">
        <f>"119,7750"</f>
        <v>119,7750</v>
      </c>
      <c r="M125" s="10" t="s">
        <v>53</v>
      </c>
    </row>
    <row r="126" spans="1:13" ht="12.75">
      <c r="A126" s="11" t="s">
        <v>39</v>
      </c>
      <c r="B126" s="10" t="s">
        <v>690</v>
      </c>
      <c r="C126" s="10" t="s">
        <v>691</v>
      </c>
      <c r="D126" s="10" t="s">
        <v>692</v>
      </c>
      <c r="E126" s="10" t="str">
        <f>"0,6440"</f>
        <v>0,6440</v>
      </c>
      <c r="F126" s="10" t="s">
        <v>55</v>
      </c>
      <c r="G126" s="22" t="s">
        <v>123</v>
      </c>
      <c r="H126" s="23" t="s">
        <v>365</v>
      </c>
      <c r="I126" s="23" t="s">
        <v>365</v>
      </c>
      <c r="J126" s="11"/>
      <c r="K126" s="29" t="str">
        <f>"185,0"</f>
        <v>185,0</v>
      </c>
      <c r="L126" s="11" t="str">
        <f>"119,1400"</f>
        <v>119,1400</v>
      </c>
      <c r="M126" s="10" t="s">
        <v>693</v>
      </c>
    </row>
    <row r="127" spans="1:13" ht="12.75">
      <c r="A127" s="11" t="s">
        <v>49</v>
      </c>
      <c r="B127" s="10" t="s">
        <v>694</v>
      </c>
      <c r="C127" s="10" t="s">
        <v>695</v>
      </c>
      <c r="D127" s="10" t="s">
        <v>696</v>
      </c>
      <c r="E127" s="10" t="str">
        <f>"0,6491"</f>
        <v>0,6491</v>
      </c>
      <c r="F127" s="41" t="s">
        <v>697</v>
      </c>
      <c r="G127" s="22" t="s">
        <v>86</v>
      </c>
      <c r="H127" s="23" t="s">
        <v>120</v>
      </c>
      <c r="I127" s="22" t="s">
        <v>120</v>
      </c>
      <c r="J127" s="11"/>
      <c r="K127" s="29" t="str">
        <f>"175,0"</f>
        <v>175,0</v>
      </c>
      <c r="L127" s="11" t="str">
        <f>"113,5925"</f>
        <v>113,5925</v>
      </c>
      <c r="M127" s="10" t="s">
        <v>53</v>
      </c>
    </row>
    <row r="128" spans="1:13" ht="12.75">
      <c r="A128" s="11" t="s">
        <v>65</v>
      </c>
      <c r="B128" s="10" t="s">
        <v>698</v>
      </c>
      <c r="C128" s="10" t="s">
        <v>699</v>
      </c>
      <c r="D128" s="10" t="s">
        <v>357</v>
      </c>
      <c r="E128" s="10" t="str">
        <f>"0,6455"</f>
        <v>0,6455</v>
      </c>
      <c r="F128" s="10" t="s">
        <v>621</v>
      </c>
      <c r="G128" s="22" t="s">
        <v>38</v>
      </c>
      <c r="H128" s="22" t="s">
        <v>95</v>
      </c>
      <c r="I128" s="23" t="s">
        <v>116</v>
      </c>
      <c r="J128" s="11"/>
      <c r="K128" s="29" t="str">
        <f>"160,0"</f>
        <v>160,0</v>
      </c>
      <c r="L128" s="11" t="str">
        <f>"103,2800"</f>
        <v>103,2800</v>
      </c>
      <c r="M128" s="10" t="s">
        <v>53</v>
      </c>
    </row>
    <row r="129" spans="1:13" ht="12.75">
      <c r="A129" s="11" t="s">
        <v>66</v>
      </c>
      <c r="B129" s="10" t="s">
        <v>700</v>
      </c>
      <c r="C129" s="10" t="s">
        <v>701</v>
      </c>
      <c r="D129" s="10" t="s">
        <v>702</v>
      </c>
      <c r="E129" s="10" t="str">
        <f>"0,6475"</f>
        <v>0,6475</v>
      </c>
      <c r="F129" s="10" t="s">
        <v>55</v>
      </c>
      <c r="G129" s="22" t="s">
        <v>85</v>
      </c>
      <c r="H129" s="22" t="s">
        <v>86</v>
      </c>
      <c r="I129" s="23" t="s">
        <v>95</v>
      </c>
      <c r="J129" s="11"/>
      <c r="K129" s="29" t="str">
        <f>"152,5"</f>
        <v>152,5</v>
      </c>
      <c r="L129" s="11" t="str">
        <f>"98,7437"</f>
        <v>98,7437</v>
      </c>
      <c r="M129" s="10" t="s">
        <v>53</v>
      </c>
    </row>
    <row r="130" spans="1:13" ht="12.75">
      <c r="A130" s="11" t="s">
        <v>69</v>
      </c>
      <c r="B130" s="10" t="s">
        <v>703</v>
      </c>
      <c r="C130" s="10" t="s">
        <v>704</v>
      </c>
      <c r="D130" s="10" t="s">
        <v>705</v>
      </c>
      <c r="E130" s="10" t="str">
        <f>"0,6463"</f>
        <v>0,6463</v>
      </c>
      <c r="F130" s="10" t="s">
        <v>55</v>
      </c>
      <c r="G130" s="23" t="s">
        <v>36</v>
      </c>
      <c r="H130" s="22" t="s">
        <v>37</v>
      </c>
      <c r="I130" s="23" t="s">
        <v>38</v>
      </c>
      <c r="J130" s="11"/>
      <c r="K130" s="29" t="str">
        <f>"150,0"</f>
        <v>150,0</v>
      </c>
      <c r="L130" s="11" t="str">
        <f>"96,9450"</f>
        <v>96,9450</v>
      </c>
      <c r="M130" s="10" t="s">
        <v>53</v>
      </c>
    </row>
    <row r="131" spans="1:13" ht="12.75">
      <c r="A131" s="11" t="s">
        <v>175</v>
      </c>
      <c r="B131" s="10" t="s">
        <v>706</v>
      </c>
      <c r="C131" s="10" t="s">
        <v>707</v>
      </c>
      <c r="D131" s="10" t="s">
        <v>708</v>
      </c>
      <c r="E131" s="10" t="str">
        <f>"0,6507"</f>
        <v>0,6507</v>
      </c>
      <c r="F131" s="10" t="s">
        <v>265</v>
      </c>
      <c r="G131" s="22" t="s">
        <v>48</v>
      </c>
      <c r="H131" s="23" t="s">
        <v>156</v>
      </c>
      <c r="I131" s="23" t="s">
        <v>156</v>
      </c>
      <c r="J131" s="11"/>
      <c r="K131" s="29" t="str">
        <f>"142,5"</f>
        <v>142,5</v>
      </c>
      <c r="L131" s="11" t="str">
        <f>"92,7247"</f>
        <v>92,7247</v>
      </c>
      <c r="M131" s="10" t="s">
        <v>162</v>
      </c>
    </row>
    <row r="132" spans="1:13" ht="12.75">
      <c r="A132" s="11" t="s">
        <v>187</v>
      </c>
      <c r="B132" s="10" t="s">
        <v>709</v>
      </c>
      <c r="C132" s="10" t="s">
        <v>710</v>
      </c>
      <c r="D132" s="10" t="s">
        <v>119</v>
      </c>
      <c r="E132" s="10" t="str">
        <f>"0,6428"</f>
        <v>0,6428</v>
      </c>
      <c r="F132" s="41" t="s">
        <v>711</v>
      </c>
      <c r="G132" s="22" t="s">
        <v>48</v>
      </c>
      <c r="H132" s="23" t="s">
        <v>156</v>
      </c>
      <c r="I132" s="23" t="s">
        <v>86</v>
      </c>
      <c r="J132" s="11"/>
      <c r="K132" s="29" t="str">
        <f>"142,5"</f>
        <v>142,5</v>
      </c>
      <c r="L132" s="11" t="str">
        <f>"91,5990"</f>
        <v>91,5990</v>
      </c>
      <c r="M132" s="10" t="s">
        <v>53</v>
      </c>
    </row>
    <row r="133" spans="1:13" ht="12.75">
      <c r="A133" s="11" t="s">
        <v>298</v>
      </c>
      <c r="B133" s="10" t="s">
        <v>712</v>
      </c>
      <c r="C133" s="10" t="s">
        <v>713</v>
      </c>
      <c r="D133" s="10" t="s">
        <v>409</v>
      </c>
      <c r="E133" s="10" t="str">
        <f>"0,6444"</f>
        <v>0,6444</v>
      </c>
      <c r="F133" s="10" t="s">
        <v>55</v>
      </c>
      <c r="G133" s="22" t="s">
        <v>80</v>
      </c>
      <c r="H133" s="23" t="s">
        <v>86</v>
      </c>
      <c r="I133" s="23" t="s">
        <v>86</v>
      </c>
      <c r="J133" s="11"/>
      <c r="K133" s="29" t="str">
        <f>"140,0"</f>
        <v>140,0</v>
      </c>
      <c r="L133" s="11" t="str">
        <f>"90,2160"</f>
        <v>90,2160</v>
      </c>
      <c r="M133" s="10" t="s">
        <v>714</v>
      </c>
    </row>
    <row r="134" spans="1:13" ht="12.75">
      <c r="A134" s="11" t="s">
        <v>300</v>
      </c>
      <c r="B134" s="10" t="s">
        <v>715</v>
      </c>
      <c r="C134" s="10" t="s">
        <v>716</v>
      </c>
      <c r="D134" s="10" t="s">
        <v>179</v>
      </c>
      <c r="E134" s="10" t="str">
        <f>"0,6410"</f>
        <v>0,6410</v>
      </c>
      <c r="F134" s="10" t="s">
        <v>55</v>
      </c>
      <c r="G134" s="22" t="s">
        <v>85</v>
      </c>
      <c r="H134" s="23" t="s">
        <v>36</v>
      </c>
      <c r="I134" s="23" t="s">
        <v>36</v>
      </c>
      <c r="J134" s="11"/>
      <c r="K134" s="29" t="str">
        <f>"135,0"</f>
        <v>135,0</v>
      </c>
      <c r="L134" s="11" t="str">
        <f>"86,5350"</f>
        <v>86,5350</v>
      </c>
      <c r="M134" s="10" t="s">
        <v>497</v>
      </c>
    </row>
    <row r="135" spans="1:13" ht="12.75">
      <c r="A135" s="11" t="s">
        <v>717</v>
      </c>
      <c r="B135" s="10" t="s">
        <v>718</v>
      </c>
      <c r="C135" s="10" t="s">
        <v>719</v>
      </c>
      <c r="D135" s="10" t="s">
        <v>720</v>
      </c>
      <c r="E135" s="10" t="str">
        <f>"0,6523"</f>
        <v>0,6523</v>
      </c>
      <c r="F135" s="10" t="s">
        <v>142</v>
      </c>
      <c r="G135" s="22" t="s">
        <v>47</v>
      </c>
      <c r="H135" s="23" t="s">
        <v>58</v>
      </c>
      <c r="I135" s="23" t="s">
        <v>58</v>
      </c>
      <c r="J135" s="11"/>
      <c r="K135" s="29" t="str">
        <f>"132,5"</f>
        <v>132,5</v>
      </c>
      <c r="L135" s="11" t="str">
        <f>"86,4298"</f>
        <v>86,4298</v>
      </c>
      <c r="M135" s="10" t="s">
        <v>53</v>
      </c>
    </row>
    <row r="136" spans="1:13" ht="12.75">
      <c r="A136" s="11" t="s">
        <v>721</v>
      </c>
      <c r="B136" s="10" t="s">
        <v>722</v>
      </c>
      <c r="C136" s="10" t="s">
        <v>723</v>
      </c>
      <c r="D136" s="10" t="s">
        <v>705</v>
      </c>
      <c r="E136" s="10" t="str">
        <f>"0,6463"</f>
        <v>0,6463</v>
      </c>
      <c r="F136" s="41" t="s">
        <v>724</v>
      </c>
      <c r="G136" s="23" t="s">
        <v>62</v>
      </c>
      <c r="H136" s="22" t="s">
        <v>62</v>
      </c>
      <c r="I136" s="22" t="s">
        <v>47</v>
      </c>
      <c r="J136" s="11"/>
      <c r="K136" s="29" t="str">
        <f>"132,5"</f>
        <v>132,5</v>
      </c>
      <c r="L136" s="11" t="str">
        <f>"85,6348"</f>
        <v>85,6348</v>
      </c>
      <c r="M136" s="10" t="s">
        <v>53</v>
      </c>
    </row>
    <row r="137" spans="1:13" ht="12.75">
      <c r="A137" s="11" t="s">
        <v>725</v>
      </c>
      <c r="B137" s="10" t="s">
        <v>726</v>
      </c>
      <c r="C137" s="10" t="s">
        <v>727</v>
      </c>
      <c r="D137" s="10" t="s">
        <v>119</v>
      </c>
      <c r="E137" s="10" t="str">
        <f>"0,6428"</f>
        <v>0,6428</v>
      </c>
      <c r="F137" s="41" t="s">
        <v>728</v>
      </c>
      <c r="G137" s="22" t="s">
        <v>47</v>
      </c>
      <c r="H137" s="23" t="s">
        <v>80</v>
      </c>
      <c r="I137" s="23" t="s">
        <v>80</v>
      </c>
      <c r="J137" s="11"/>
      <c r="K137" s="29" t="str">
        <f>"132,5"</f>
        <v>132,5</v>
      </c>
      <c r="L137" s="11" t="str">
        <f>"85,1710"</f>
        <v>85,1710</v>
      </c>
      <c r="M137" s="10" t="s">
        <v>53</v>
      </c>
    </row>
    <row r="138" spans="1:13" ht="12.75">
      <c r="A138" s="11" t="s">
        <v>11</v>
      </c>
      <c r="B138" s="10" t="s">
        <v>729</v>
      </c>
      <c r="C138" s="10" t="s">
        <v>730</v>
      </c>
      <c r="D138" s="10" t="s">
        <v>189</v>
      </c>
      <c r="E138" s="10" t="str">
        <f>"0,6436"</f>
        <v>0,6436</v>
      </c>
      <c r="F138" s="10" t="s">
        <v>55</v>
      </c>
      <c r="G138" s="23" t="s">
        <v>120</v>
      </c>
      <c r="H138" s="23" t="s">
        <v>120</v>
      </c>
      <c r="I138" s="23" t="s">
        <v>120</v>
      </c>
      <c r="J138" s="11"/>
      <c r="K138" s="29">
        <v>0</v>
      </c>
      <c r="L138" s="11" t="str">
        <f>"0,0000"</f>
        <v>0,0000</v>
      </c>
      <c r="M138" s="10" t="s">
        <v>53</v>
      </c>
    </row>
    <row r="139" spans="1:13" ht="12.75">
      <c r="A139" s="11" t="s">
        <v>15</v>
      </c>
      <c r="B139" s="10" t="s">
        <v>731</v>
      </c>
      <c r="C139" s="10" t="s">
        <v>732</v>
      </c>
      <c r="D139" s="10" t="s">
        <v>355</v>
      </c>
      <c r="E139" s="10" t="str">
        <f>"0,6384"</f>
        <v>0,6384</v>
      </c>
      <c r="F139" s="10" t="s">
        <v>155</v>
      </c>
      <c r="G139" s="22" t="s">
        <v>117</v>
      </c>
      <c r="H139" s="22" t="s">
        <v>120</v>
      </c>
      <c r="I139" s="22" t="s">
        <v>126</v>
      </c>
      <c r="J139" s="11"/>
      <c r="K139" s="29" t="str">
        <f>"180,0"</f>
        <v>180,0</v>
      </c>
      <c r="L139" s="11" t="str">
        <f>"123,8751"</f>
        <v>123,8751</v>
      </c>
      <c r="M139" s="10" t="s">
        <v>53</v>
      </c>
    </row>
    <row r="140" spans="1:13" ht="12.75">
      <c r="A140" s="11" t="s">
        <v>39</v>
      </c>
      <c r="B140" s="10" t="s">
        <v>733</v>
      </c>
      <c r="C140" s="10" t="s">
        <v>734</v>
      </c>
      <c r="D140" s="10" t="s">
        <v>735</v>
      </c>
      <c r="E140" s="10" t="str">
        <f>"0,6413"</f>
        <v>0,6413</v>
      </c>
      <c r="F140" s="10" t="s">
        <v>624</v>
      </c>
      <c r="G140" s="22" t="s">
        <v>37</v>
      </c>
      <c r="H140" s="22" t="s">
        <v>95</v>
      </c>
      <c r="I140" s="22" t="s">
        <v>116</v>
      </c>
      <c r="J140" s="11"/>
      <c r="K140" s="29" t="str">
        <f>"165,0"</f>
        <v>165,0</v>
      </c>
      <c r="L140" s="11" t="str">
        <f>"105,8145"</f>
        <v>105,8145</v>
      </c>
      <c r="M140" s="10" t="s">
        <v>53</v>
      </c>
    </row>
    <row r="141" spans="1:13" ht="12.75">
      <c r="A141" s="11" t="s">
        <v>15</v>
      </c>
      <c r="B141" s="10" t="s">
        <v>736</v>
      </c>
      <c r="C141" s="10" t="s">
        <v>737</v>
      </c>
      <c r="D141" s="10" t="s">
        <v>738</v>
      </c>
      <c r="E141" s="10" t="str">
        <f>"0,6467"</f>
        <v>0,6467</v>
      </c>
      <c r="F141" s="10" t="s">
        <v>55</v>
      </c>
      <c r="G141" s="22" t="s">
        <v>86</v>
      </c>
      <c r="H141" s="22" t="s">
        <v>38</v>
      </c>
      <c r="I141" s="23" t="s">
        <v>81</v>
      </c>
      <c r="J141" s="11"/>
      <c r="K141" s="29" t="str">
        <f>"155,0"</f>
        <v>155,0</v>
      </c>
      <c r="L141" s="11" t="str">
        <f>"120,9879"</f>
        <v>120,9879</v>
      </c>
      <c r="M141" s="10" t="s">
        <v>53</v>
      </c>
    </row>
    <row r="142" spans="1:13" ht="12.75">
      <c r="A142" s="11" t="s">
        <v>15</v>
      </c>
      <c r="B142" s="10" t="s">
        <v>739</v>
      </c>
      <c r="C142" s="10" t="s">
        <v>740</v>
      </c>
      <c r="D142" s="10" t="s">
        <v>741</v>
      </c>
      <c r="E142" s="10" t="str">
        <f>"0,6391"</f>
        <v>0,6391</v>
      </c>
      <c r="F142" s="10" t="s">
        <v>408</v>
      </c>
      <c r="G142" s="22" t="s">
        <v>156</v>
      </c>
      <c r="H142" s="22" t="s">
        <v>38</v>
      </c>
      <c r="I142" s="23" t="s">
        <v>81</v>
      </c>
      <c r="J142" s="11"/>
      <c r="K142" s="29" t="str">
        <f>"155,0"</f>
        <v>155,0</v>
      </c>
      <c r="L142" s="11" t="str">
        <f>"139,6753"</f>
        <v>139,6753</v>
      </c>
      <c r="M142" s="10" t="s">
        <v>53</v>
      </c>
    </row>
    <row r="143" spans="1:13" ht="12.75">
      <c r="A143" s="13" t="s">
        <v>15</v>
      </c>
      <c r="B143" s="12" t="s">
        <v>742</v>
      </c>
      <c r="C143" s="12" t="s">
        <v>743</v>
      </c>
      <c r="D143" s="12" t="s">
        <v>744</v>
      </c>
      <c r="E143" s="12" t="str">
        <f>"0,6487"</f>
        <v>0,6487</v>
      </c>
      <c r="F143" s="12" t="s">
        <v>184</v>
      </c>
      <c r="G143" s="25" t="s">
        <v>50</v>
      </c>
      <c r="H143" s="24" t="s">
        <v>94</v>
      </c>
      <c r="I143" s="24" t="s">
        <v>51</v>
      </c>
      <c r="J143" s="13"/>
      <c r="K143" s="28" t="str">
        <f>"110,0"</f>
        <v>110,0</v>
      </c>
      <c r="L143" s="13" t="str">
        <f>"135,5783"</f>
        <v>135,5783</v>
      </c>
      <c r="M143" s="12" t="s">
        <v>745</v>
      </c>
    </row>
    <row r="144" ht="12.75">
      <c r="B144" s="4" t="s">
        <v>26</v>
      </c>
    </row>
    <row r="145" spans="1:10" ht="15">
      <c r="A145" s="45" t="s">
        <v>190</v>
      </c>
      <c r="B145" s="45"/>
      <c r="C145" s="45"/>
      <c r="D145" s="45"/>
      <c r="E145" s="45"/>
      <c r="F145" s="45"/>
      <c r="G145" s="45"/>
      <c r="H145" s="45"/>
      <c r="I145" s="45"/>
      <c r="J145" s="45"/>
    </row>
    <row r="146" spans="1:13" ht="12.75">
      <c r="A146" s="9" t="s">
        <v>15</v>
      </c>
      <c r="B146" s="8" t="s">
        <v>746</v>
      </c>
      <c r="C146" s="8" t="s">
        <v>747</v>
      </c>
      <c r="D146" s="8" t="s">
        <v>748</v>
      </c>
      <c r="E146" s="8" t="str">
        <f>"0,6331"</f>
        <v>0,6331</v>
      </c>
      <c r="F146" s="39" t="s">
        <v>749</v>
      </c>
      <c r="G146" s="20" t="s">
        <v>34</v>
      </c>
      <c r="H146" s="20" t="s">
        <v>83</v>
      </c>
      <c r="I146" s="20" t="s">
        <v>74</v>
      </c>
      <c r="J146" s="9"/>
      <c r="K146" s="27" t="str">
        <f>"70,0"</f>
        <v>70,0</v>
      </c>
      <c r="L146" s="9" t="str">
        <f>"44,3170"</f>
        <v>44,3170</v>
      </c>
      <c r="M146" s="8" t="s">
        <v>162</v>
      </c>
    </row>
    <row r="147" spans="1:13" ht="12.75">
      <c r="A147" s="11" t="s">
        <v>15</v>
      </c>
      <c r="B147" s="10" t="s">
        <v>750</v>
      </c>
      <c r="C147" s="10" t="s">
        <v>751</v>
      </c>
      <c r="D147" s="10" t="s">
        <v>193</v>
      </c>
      <c r="E147" s="10" t="str">
        <f>"0,6139"</f>
        <v>0,6139</v>
      </c>
      <c r="F147" s="10" t="s">
        <v>334</v>
      </c>
      <c r="G147" s="22" t="s">
        <v>124</v>
      </c>
      <c r="H147" s="23" t="s">
        <v>169</v>
      </c>
      <c r="I147" s="22" t="s">
        <v>169</v>
      </c>
      <c r="J147" s="23" t="s">
        <v>150</v>
      </c>
      <c r="K147" s="29" t="str">
        <f>"205,0"</f>
        <v>205,0</v>
      </c>
      <c r="L147" s="11" t="str">
        <f>"125,8495"</f>
        <v>125,8495</v>
      </c>
      <c r="M147" s="10" t="s">
        <v>53</v>
      </c>
    </row>
    <row r="148" spans="1:13" ht="12.75">
      <c r="A148" s="11" t="s">
        <v>15</v>
      </c>
      <c r="B148" s="10" t="s">
        <v>752</v>
      </c>
      <c r="C148" s="10" t="s">
        <v>753</v>
      </c>
      <c r="D148" s="10" t="s">
        <v>288</v>
      </c>
      <c r="E148" s="10" t="str">
        <f>"0,6150"</f>
        <v>0,6150</v>
      </c>
      <c r="F148" s="10" t="s">
        <v>186</v>
      </c>
      <c r="G148" s="22" t="s">
        <v>124</v>
      </c>
      <c r="H148" s="23" t="s">
        <v>169</v>
      </c>
      <c r="I148" s="22" t="s">
        <v>169</v>
      </c>
      <c r="J148" s="11"/>
      <c r="K148" s="29" t="str">
        <f>"205,0"</f>
        <v>205,0</v>
      </c>
      <c r="L148" s="11" t="str">
        <f>"126,0750"</f>
        <v>126,0750</v>
      </c>
      <c r="M148" s="10" t="s">
        <v>53</v>
      </c>
    </row>
    <row r="149" spans="1:13" ht="12.75">
      <c r="A149" s="11" t="s">
        <v>39</v>
      </c>
      <c r="B149" s="10" t="s">
        <v>750</v>
      </c>
      <c r="C149" s="10" t="s">
        <v>754</v>
      </c>
      <c r="D149" s="10" t="s">
        <v>193</v>
      </c>
      <c r="E149" s="10" t="str">
        <f>"0,6139"</f>
        <v>0,6139</v>
      </c>
      <c r="F149" s="10" t="s">
        <v>334</v>
      </c>
      <c r="G149" s="22" t="s">
        <v>124</v>
      </c>
      <c r="H149" s="23" t="s">
        <v>169</v>
      </c>
      <c r="I149" s="22" t="s">
        <v>169</v>
      </c>
      <c r="J149" s="23" t="s">
        <v>150</v>
      </c>
      <c r="K149" s="29" t="str">
        <f>"205,0"</f>
        <v>205,0</v>
      </c>
      <c r="L149" s="11" t="str">
        <f>"125,8495"</f>
        <v>125,8495</v>
      </c>
      <c r="M149" s="10" t="s">
        <v>53</v>
      </c>
    </row>
    <row r="150" spans="1:13" ht="12.75">
      <c r="A150" s="11" t="s">
        <v>49</v>
      </c>
      <c r="B150" s="10" t="s">
        <v>755</v>
      </c>
      <c r="C150" s="10" t="s">
        <v>756</v>
      </c>
      <c r="D150" s="10" t="s">
        <v>198</v>
      </c>
      <c r="E150" s="10" t="str">
        <f>"0,6174"</f>
        <v>0,6174</v>
      </c>
      <c r="F150" s="10" t="s">
        <v>568</v>
      </c>
      <c r="G150" s="22" t="s">
        <v>123</v>
      </c>
      <c r="H150" s="22" t="s">
        <v>124</v>
      </c>
      <c r="I150" s="22" t="s">
        <v>125</v>
      </c>
      <c r="J150" s="11"/>
      <c r="K150" s="29" t="str">
        <f>"200,0"</f>
        <v>200,0</v>
      </c>
      <c r="L150" s="11" t="str">
        <f>"123,4800"</f>
        <v>123,4800</v>
      </c>
      <c r="M150" s="10" t="s">
        <v>757</v>
      </c>
    </row>
    <row r="151" spans="1:13" ht="12.75">
      <c r="A151" s="11" t="s">
        <v>65</v>
      </c>
      <c r="B151" s="10" t="s">
        <v>758</v>
      </c>
      <c r="C151" s="10" t="s">
        <v>759</v>
      </c>
      <c r="D151" s="10" t="s">
        <v>760</v>
      </c>
      <c r="E151" s="10" t="str">
        <f>"0,6142"</f>
        <v>0,6142</v>
      </c>
      <c r="F151" s="41" t="s">
        <v>761</v>
      </c>
      <c r="G151" s="23" t="s">
        <v>124</v>
      </c>
      <c r="H151" s="22" t="s">
        <v>125</v>
      </c>
      <c r="I151" s="23" t="s">
        <v>150</v>
      </c>
      <c r="J151" s="11"/>
      <c r="K151" s="29" t="str">
        <f>"200,0"</f>
        <v>200,0</v>
      </c>
      <c r="L151" s="11" t="str">
        <f>"122,8400"</f>
        <v>122,8400</v>
      </c>
      <c r="M151" s="10" t="s">
        <v>88</v>
      </c>
    </row>
    <row r="152" spans="1:13" ht="12.75">
      <c r="A152" s="11" t="s">
        <v>66</v>
      </c>
      <c r="B152" s="10" t="s">
        <v>762</v>
      </c>
      <c r="C152" s="10" t="s">
        <v>763</v>
      </c>
      <c r="D152" s="10" t="s">
        <v>193</v>
      </c>
      <c r="E152" s="10" t="str">
        <f>"0,6139"</f>
        <v>0,6139</v>
      </c>
      <c r="F152" s="41" t="s">
        <v>764</v>
      </c>
      <c r="G152" s="22" t="s">
        <v>120</v>
      </c>
      <c r="H152" s="22" t="s">
        <v>123</v>
      </c>
      <c r="I152" s="22" t="s">
        <v>128</v>
      </c>
      <c r="J152" s="11"/>
      <c r="K152" s="29" t="str">
        <f>"190,0"</f>
        <v>190,0</v>
      </c>
      <c r="L152" s="11" t="str">
        <f>"116,6410"</f>
        <v>116,6410</v>
      </c>
      <c r="M152" s="10" t="s">
        <v>53</v>
      </c>
    </row>
    <row r="153" spans="1:13" ht="12.75">
      <c r="A153" s="11" t="s">
        <v>69</v>
      </c>
      <c r="B153" s="10" t="s">
        <v>765</v>
      </c>
      <c r="C153" s="10" t="s">
        <v>766</v>
      </c>
      <c r="D153" s="10" t="s">
        <v>767</v>
      </c>
      <c r="E153" s="10" t="str">
        <f>"0,6113"</f>
        <v>0,6113</v>
      </c>
      <c r="F153" s="10" t="s">
        <v>55</v>
      </c>
      <c r="G153" s="22" t="s">
        <v>120</v>
      </c>
      <c r="H153" s="23" t="s">
        <v>123</v>
      </c>
      <c r="I153" s="22" t="s">
        <v>123</v>
      </c>
      <c r="J153" s="11"/>
      <c r="K153" s="29" t="str">
        <f>"185,0"</f>
        <v>185,0</v>
      </c>
      <c r="L153" s="11" t="str">
        <f>"113,0905"</f>
        <v>113,0905</v>
      </c>
      <c r="M153" s="10" t="s">
        <v>53</v>
      </c>
    </row>
    <row r="154" spans="1:13" ht="12.75">
      <c r="A154" s="11" t="s">
        <v>175</v>
      </c>
      <c r="B154" s="10" t="s">
        <v>396</v>
      </c>
      <c r="C154" s="10" t="s">
        <v>397</v>
      </c>
      <c r="D154" s="10" t="s">
        <v>398</v>
      </c>
      <c r="E154" s="10" t="str">
        <f>"0,6096"</f>
        <v>0,6096</v>
      </c>
      <c r="F154" s="10" t="s">
        <v>319</v>
      </c>
      <c r="G154" s="22" t="s">
        <v>38</v>
      </c>
      <c r="H154" s="22" t="s">
        <v>95</v>
      </c>
      <c r="I154" s="22" t="s">
        <v>116</v>
      </c>
      <c r="J154" s="11"/>
      <c r="K154" s="29" t="str">
        <f>"165,0"</f>
        <v>165,0</v>
      </c>
      <c r="L154" s="11" t="str">
        <f>"100,5840"</f>
        <v>100,5840</v>
      </c>
      <c r="M154" s="10" t="s">
        <v>53</v>
      </c>
    </row>
    <row r="155" spans="1:13" ht="12.75">
      <c r="A155" s="11" t="s">
        <v>187</v>
      </c>
      <c r="B155" s="10" t="s">
        <v>340</v>
      </c>
      <c r="C155" s="10" t="s">
        <v>341</v>
      </c>
      <c r="D155" s="10" t="s">
        <v>292</v>
      </c>
      <c r="E155" s="10" t="str">
        <f>"0,6086"</f>
        <v>0,6086</v>
      </c>
      <c r="F155" s="10" t="s">
        <v>155</v>
      </c>
      <c r="G155" s="22" t="s">
        <v>37</v>
      </c>
      <c r="H155" s="23" t="s">
        <v>200</v>
      </c>
      <c r="I155" s="23" t="s">
        <v>200</v>
      </c>
      <c r="J155" s="11"/>
      <c r="K155" s="29" t="str">
        <f>"150,0"</f>
        <v>150,0</v>
      </c>
      <c r="L155" s="11" t="str">
        <f>"91,2900"</f>
        <v>91,2900</v>
      </c>
      <c r="M155" s="10" t="s">
        <v>333</v>
      </c>
    </row>
    <row r="156" spans="1:13" ht="12.75">
      <c r="A156" s="11" t="s">
        <v>298</v>
      </c>
      <c r="B156" s="10" t="s">
        <v>342</v>
      </c>
      <c r="C156" s="10" t="s">
        <v>343</v>
      </c>
      <c r="D156" s="10" t="s">
        <v>344</v>
      </c>
      <c r="E156" s="10" t="str">
        <f>"0,6123"</f>
        <v>0,6123</v>
      </c>
      <c r="F156" s="10" t="s">
        <v>252</v>
      </c>
      <c r="G156" s="22" t="s">
        <v>80</v>
      </c>
      <c r="H156" s="23" t="s">
        <v>36</v>
      </c>
      <c r="I156" s="23" t="s">
        <v>36</v>
      </c>
      <c r="J156" s="11"/>
      <c r="K156" s="29" t="str">
        <f>"140,0"</f>
        <v>140,0</v>
      </c>
      <c r="L156" s="11" t="str">
        <f>"85,7220"</f>
        <v>85,7220</v>
      </c>
      <c r="M156" s="10" t="s">
        <v>53</v>
      </c>
    </row>
    <row r="157" spans="1:13" ht="12.75">
      <c r="A157" s="11" t="s">
        <v>15</v>
      </c>
      <c r="B157" s="10" t="s">
        <v>768</v>
      </c>
      <c r="C157" s="10" t="s">
        <v>769</v>
      </c>
      <c r="D157" s="10" t="s">
        <v>288</v>
      </c>
      <c r="E157" s="10" t="str">
        <f>"0,6150"</f>
        <v>0,6150</v>
      </c>
      <c r="F157" s="10" t="s">
        <v>265</v>
      </c>
      <c r="G157" s="22" t="s">
        <v>120</v>
      </c>
      <c r="H157" s="22" t="s">
        <v>126</v>
      </c>
      <c r="I157" s="23" t="s">
        <v>159</v>
      </c>
      <c r="J157" s="11"/>
      <c r="K157" s="29" t="str">
        <f>"180,0"</f>
        <v>180,0</v>
      </c>
      <c r="L157" s="11" t="str">
        <f>"119,3346"</f>
        <v>119,3346</v>
      </c>
      <c r="M157" s="10" t="s">
        <v>162</v>
      </c>
    </row>
    <row r="158" spans="1:13" ht="12.75">
      <c r="A158" s="11" t="s">
        <v>39</v>
      </c>
      <c r="B158" s="10" t="s">
        <v>770</v>
      </c>
      <c r="C158" s="10" t="s">
        <v>771</v>
      </c>
      <c r="D158" s="10" t="s">
        <v>772</v>
      </c>
      <c r="E158" s="10" t="str">
        <f>"0,6244"</f>
        <v>0,6244</v>
      </c>
      <c r="F158" s="41" t="s">
        <v>773</v>
      </c>
      <c r="G158" s="23" t="s">
        <v>117</v>
      </c>
      <c r="H158" s="22" t="s">
        <v>97</v>
      </c>
      <c r="I158" s="22" t="s">
        <v>120</v>
      </c>
      <c r="J158" s="11"/>
      <c r="K158" s="29" t="str">
        <f>"175,0"</f>
        <v>175,0</v>
      </c>
      <c r="L158" s="11" t="str">
        <f>"119,7599"</f>
        <v>119,7599</v>
      </c>
      <c r="M158" s="10" t="s">
        <v>53</v>
      </c>
    </row>
    <row r="159" spans="1:13" ht="12.75">
      <c r="A159" s="11" t="s">
        <v>49</v>
      </c>
      <c r="B159" s="10" t="s">
        <v>774</v>
      </c>
      <c r="C159" s="10" t="s">
        <v>775</v>
      </c>
      <c r="D159" s="10" t="s">
        <v>776</v>
      </c>
      <c r="E159" s="10" t="str">
        <f>"0,6103"</f>
        <v>0,6103</v>
      </c>
      <c r="F159" s="41" t="s">
        <v>777</v>
      </c>
      <c r="G159" s="22" t="s">
        <v>116</v>
      </c>
      <c r="H159" s="23" t="s">
        <v>120</v>
      </c>
      <c r="I159" s="23" t="s">
        <v>120</v>
      </c>
      <c r="J159" s="11"/>
      <c r="K159" s="29" t="str">
        <f>"165,0"</f>
        <v>165,0</v>
      </c>
      <c r="L159" s="11" t="str">
        <f>"113,9918"</f>
        <v>113,9918</v>
      </c>
      <c r="M159" s="10" t="s">
        <v>53</v>
      </c>
    </row>
    <row r="160" spans="1:13" ht="12.75">
      <c r="A160" s="11" t="s">
        <v>65</v>
      </c>
      <c r="B160" s="10" t="s">
        <v>396</v>
      </c>
      <c r="C160" s="10" t="s">
        <v>401</v>
      </c>
      <c r="D160" s="10" t="s">
        <v>398</v>
      </c>
      <c r="E160" s="10" t="str">
        <f>"0,6096"</f>
        <v>0,6096</v>
      </c>
      <c r="F160" s="10" t="s">
        <v>319</v>
      </c>
      <c r="G160" s="22" t="s">
        <v>38</v>
      </c>
      <c r="H160" s="22" t="s">
        <v>95</v>
      </c>
      <c r="I160" s="22" t="s">
        <v>116</v>
      </c>
      <c r="J160" s="11"/>
      <c r="K160" s="29" t="str">
        <f>"165,0"</f>
        <v>165,0</v>
      </c>
      <c r="L160" s="11" t="str">
        <f>"108,4296"</f>
        <v>108,4296</v>
      </c>
      <c r="M160" s="10" t="s">
        <v>53</v>
      </c>
    </row>
    <row r="161" spans="1:13" ht="12.75">
      <c r="A161" s="11" t="s">
        <v>66</v>
      </c>
      <c r="B161" s="10" t="s">
        <v>778</v>
      </c>
      <c r="C161" s="10" t="s">
        <v>779</v>
      </c>
      <c r="D161" s="10" t="s">
        <v>780</v>
      </c>
      <c r="E161" s="10" t="str">
        <f>"0,6091"</f>
        <v>0,6091</v>
      </c>
      <c r="F161" s="10" t="s">
        <v>299</v>
      </c>
      <c r="G161" s="22" t="s">
        <v>36</v>
      </c>
      <c r="H161" s="22" t="s">
        <v>38</v>
      </c>
      <c r="I161" s="23" t="s">
        <v>95</v>
      </c>
      <c r="J161" s="11"/>
      <c r="K161" s="29" t="str">
        <f>"155,0"</f>
        <v>155,0</v>
      </c>
      <c r="L161" s="11" t="str">
        <f>"106,8727"</f>
        <v>106,8727</v>
      </c>
      <c r="M161" s="10" t="s">
        <v>53</v>
      </c>
    </row>
    <row r="162" spans="1:13" ht="12.75">
      <c r="A162" s="11" t="s">
        <v>15</v>
      </c>
      <c r="B162" s="10" t="s">
        <v>781</v>
      </c>
      <c r="C162" s="10" t="s">
        <v>782</v>
      </c>
      <c r="D162" s="10" t="s">
        <v>191</v>
      </c>
      <c r="E162" s="10" t="str">
        <f>"0,6108"</f>
        <v>0,6108</v>
      </c>
      <c r="F162" s="41" t="s">
        <v>783</v>
      </c>
      <c r="G162" s="22" t="s">
        <v>97</v>
      </c>
      <c r="H162" s="22" t="s">
        <v>159</v>
      </c>
      <c r="I162" s="22" t="s">
        <v>365</v>
      </c>
      <c r="J162" s="23" t="s">
        <v>784</v>
      </c>
      <c r="K162" s="29" t="str">
        <f>"187,5"</f>
        <v>187,5</v>
      </c>
      <c r="L162" s="11" t="str">
        <f>"138,2317"</f>
        <v>138,2317</v>
      </c>
      <c r="M162" s="10" t="s">
        <v>785</v>
      </c>
    </row>
    <row r="163" spans="1:13" ht="12.75">
      <c r="A163" s="11" t="s">
        <v>39</v>
      </c>
      <c r="B163" s="10" t="s">
        <v>786</v>
      </c>
      <c r="C163" s="10" t="s">
        <v>787</v>
      </c>
      <c r="D163" s="10" t="s">
        <v>788</v>
      </c>
      <c r="E163" s="10" t="str">
        <f>"0,6197"</f>
        <v>0,6197</v>
      </c>
      <c r="F163" s="10" t="s">
        <v>331</v>
      </c>
      <c r="G163" s="22" t="s">
        <v>36</v>
      </c>
      <c r="H163" s="22" t="s">
        <v>37</v>
      </c>
      <c r="I163" s="22" t="s">
        <v>38</v>
      </c>
      <c r="J163" s="11"/>
      <c r="K163" s="29" t="str">
        <f>"155,0"</f>
        <v>155,0</v>
      </c>
      <c r="L163" s="11" t="str">
        <f>"124,5814"</f>
        <v>124,5814</v>
      </c>
      <c r="M163" s="10" t="s">
        <v>789</v>
      </c>
    </row>
    <row r="164" spans="1:13" ht="12.75">
      <c r="A164" s="11" t="s">
        <v>49</v>
      </c>
      <c r="B164" s="10" t="s">
        <v>790</v>
      </c>
      <c r="C164" s="10" t="s">
        <v>791</v>
      </c>
      <c r="D164" s="10" t="s">
        <v>338</v>
      </c>
      <c r="E164" s="10" t="str">
        <f>"0,6301"</f>
        <v>0,6301</v>
      </c>
      <c r="F164" s="10" t="s">
        <v>55</v>
      </c>
      <c r="G164" s="23" t="s">
        <v>36</v>
      </c>
      <c r="H164" s="22" t="s">
        <v>36</v>
      </c>
      <c r="I164" s="23" t="s">
        <v>86</v>
      </c>
      <c r="J164" s="23"/>
      <c r="K164" s="29" t="str">
        <f>"145,0"</f>
        <v>145,0</v>
      </c>
      <c r="L164" s="11" t="str">
        <f>"118,4998"</f>
        <v>118,4998</v>
      </c>
      <c r="M164" s="10" t="s">
        <v>53</v>
      </c>
    </row>
    <row r="165" spans="1:13" ht="12.75">
      <c r="A165" s="11" t="s">
        <v>65</v>
      </c>
      <c r="B165" s="10" t="s">
        <v>399</v>
      </c>
      <c r="C165" s="10" t="s">
        <v>402</v>
      </c>
      <c r="D165" s="10" t="s">
        <v>400</v>
      </c>
      <c r="E165" s="10" t="str">
        <f>"0,6247"</f>
        <v>0,6247</v>
      </c>
      <c r="F165" s="10" t="s">
        <v>290</v>
      </c>
      <c r="G165" s="22" t="s">
        <v>85</v>
      </c>
      <c r="H165" s="22" t="s">
        <v>80</v>
      </c>
      <c r="I165" s="22" t="s">
        <v>36</v>
      </c>
      <c r="J165" s="11"/>
      <c r="K165" s="29" t="str">
        <f>"145,0"</f>
        <v>145,0</v>
      </c>
      <c r="L165" s="11" t="str">
        <f>"113,2269"</f>
        <v>113,2269</v>
      </c>
      <c r="M165" s="10" t="s">
        <v>53</v>
      </c>
    </row>
    <row r="166" spans="1:13" ht="12.75">
      <c r="A166" s="11" t="s">
        <v>66</v>
      </c>
      <c r="B166" s="10" t="s">
        <v>792</v>
      </c>
      <c r="C166" s="10" t="s">
        <v>793</v>
      </c>
      <c r="D166" s="10" t="s">
        <v>794</v>
      </c>
      <c r="E166" s="10" t="str">
        <f>"0,6152"</f>
        <v>0,6152</v>
      </c>
      <c r="F166" s="10" t="s">
        <v>55</v>
      </c>
      <c r="G166" s="23" t="s">
        <v>63</v>
      </c>
      <c r="H166" s="22" t="s">
        <v>80</v>
      </c>
      <c r="I166" s="23" t="s">
        <v>37</v>
      </c>
      <c r="J166" s="11"/>
      <c r="K166" s="29" t="str">
        <f>"140,0"</f>
        <v>140,0</v>
      </c>
      <c r="L166" s="11" t="str">
        <f>"100,5975"</f>
        <v>100,5975</v>
      </c>
      <c r="M166" s="10" t="s">
        <v>53</v>
      </c>
    </row>
    <row r="167" spans="1:13" ht="12.75">
      <c r="A167" s="11" t="s">
        <v>69</v>
      </c>
      <c r="B167" s="10" t="s">
        <v>795</v>
      </c>
      <c r="C167" s="10" t="s">
        <v>796</v>
      </c>
      <c r="D167" s="10" t="s">
        <v>195</v>
      </c>
      <c r="E167" s="10" t="str">
        <f>"0,6106"</f>
        <v>0,6106</v>
      </c>
      <c r="F167" s="10" t="s">
        <v>55</v>
      </c>
      <c r="G167" s="22" t="s">
        <v>62</v>
      </c>
      <c r="H167" s="23" t="s">
        <v>47</v>
      </c>
      <c r="I167" s="22" t="s">
        <v>85</v>
      </c>
      <c r="J167" s="11"/>
      <c r="K167" s="29" t="str">
        <f>"135,0"</f>
        <v>135,0</v>
      </c>
      <c r="L167" s="11" t="str">
        <f>"94,7956"</f>
        <v>94,7956</v>
      </c>
      <c r="M167" s="10" t="s">
        <v>53</v>
      </c>
    </row>
    <row r="168" spans="1:13" ht="12.75">
      <c r="A168" s="13" t="s">
        <v>15</v>
      </c>
      <c r="B168" s="12" t="s">
        <v>797</v>
      </c>
      <c r="C168" s="12" t="s">
        <v>798</v>
      </c>
      <c r="D168" s="12" t="s">
        <v>748</v>
      </c>
      <c r="E168" s="12" t="str">
        <f>"0,6331"</f>
        <v>0,6331</v>
      </c>
      <c r="F168" s="40" t="s">
        <v>799</v>
      </c>
      <c r="G168" s="24" t="s">
        <v>80</v>
      </c>
      <c r="H168" s="24" t="s">
        <v>48</v>
      </c>
      <c r="I168" s="24" t="s">
        <v>37</v>
      </c>
      <c r="J168" s="13"/>
      <c r="K168" s="28" t="str">
        <f>"150,0"</f>
        <v>150,0</v>
      </c>
      <c r="L168" s="13" t="str">
        <f>"142,5425"</f>
        <v>142,5425</v>
      </c>
      <c r="M168" s="12" t="s">
        <v>53</v>
      </c>
    </row>
    <row r="169" ht="12.75">
      <c r="B169" s="4" t="s">
        <v>26</v>
      </c>
    </row>
    <row r="170" spans="1:10" ht="15">
      <c r="A170" s="45" t="s">
        <v>201</v>
      </c>
      <c r="B170" s="45"/>
      <c r="C170" s="45"/>
      <c r="D170" s="45"/>
      <c r="E170" s="45"/>
      <c r="F170" s="45"/>
      <c r="G170" s="45"/>
      <c r="H170" s="45"/>
      <c r="I170" s="45"/>
      <c r="J170" s="45"/>
    </row>
    <row r="171" spans="1:13" ht="12.75">
      <c r="A171" s="9" t="s">
        <v>15</v>
      </c>
      <c r="B171" s="8" t="s">
        <v>202</v>
      </c>
      <c r="C171" s="8" t="s">
        <v>203</v>
      </c>
      <c r="D171" s="8" t="s">
        <v>204</v>
      </c>
      <c r="E171" s="8" t="str">
        <f>"0,6039"</f>
        <v>0,6039</v>
      </c>
      <c r="F171" s="8" t="s">
        <v>127</v>
      </c>
      <c r="G171" s="20" t="s">
        <v>80</v>
      </c>
      <c r="H171" s="20" t="s">
        <v>36</v>
      </c>
      <c r="I171" s="20" t="s">
        <v>156</v>
      </c>
      <c r="J171" s="9"/>
      <c r="K171" s="27" t="str">
        <f>"147,5"</f>
        <v>147,5</v>
      </c>
      <c r="L171" s="9" t="str">
        <f>"89,0753"</f>
        <v>89,0753</v>
      </c>
      <c r="M171" s="8" t="s">
        <v>800</v>
      </c>
    </row>
    <row r="172" spans="1:13" ht="12.75">
      <c r="A172" s="11" t="s">
        <v>15</v>
      </c>
      <c r="B172" s="10" t="s">
        <v>801</v>
      </c>
      <c r="C172" s="10" t="s">
        <v>802</v>
      </c>
      <c r="D172" s="10" t="s">
        <v>383</v>
      </c>
      <c r="E172" s="10" t="str">
        <f>"0,5903"</f>
        <v>0,5903</v>
      </c>
      <c r="F172" s="41" t="s">
        <v>803</v>
      </c>
      <c r="G172" s="22" t="s">
        <v>140</v>
      </c>
      <c r="H172" s="22" t="s">
        <v>135</v>
      </c>
      <c r="I172" s="22" t="s">
        <v>147</v>
      </c>
      <c r="J172" s="22" t="s">
        <v>269</v>
      </c>
      <c r="K172" s="29" t="str">
        <f>"240,0"</f>
        <v>240,0</v>
      </c>
      <c r="L172" s="11" t="str">
        <f>"141,6720"</f>
        <v>141,6720</v>
      </c>
      <c r="M172" s="10" t="s">
        <v>804</v>
      </c>
    </row>
    <row r="173" spans="1:13" ht="12.75">
      <c r="A173" s="11" t="s">
        <v>39</v>
      </c>
      <c r="B173" s="10" t="s">
        <v>805</v>
      </c>
      <c r="C173" s="10" t="s">
        <v>806</v>
      </c>
      <c r="D173" s="10" t="s">
        <v>301</v>
      </c>
      <c r="E173" s="10" t="str">
        <f>"0,5900"</f>
        <v>0,5900</v>
      </c>
      <c r="F173" s="10" t="s">
        <v>89</v>
      </c>
      <c r="G173" s="23" t="s">
        <v>146</v>
      </c>
      <c r="H173" s="22" t="s">
        <v>146</v>
      </c>
      <c r="I173" s="23" t="s">
        <v>135</v>
      </c>
      <c r="J173" s="11"/>
      <c r="K173" s="29" t="str">
        <f>"225,0"</f>
        <v>225,0</v>
      </c>
      <c r="L173" s="11" t="str">
        <f>"132,7500"</f>
        <v>132,7500</v>
      </c>
      <c r="M173" s="10" t="s">
        <v>53</v>
      </c>
    </row>
    <row r="174" spans="1:13" ht="12.75">
      <c r="A174" s="11" t="s">
        <v>49</v>
      </c>
      <c r="B174" s="10" t="s">
        <v>807</v>
      </c>
      <c r="C174" s="10" t="s">
        <v>808</v>
      </c>
      <c r="D174" s="10" t="s">
        <v>809</v>
      </c>
      <c r="E174" s="10" t="str">
        <f>"0,5905"</f>
        <v>0,5905</v>
      </c>
      <c r="F174" s="10" t="s">
        <v>138</v>
      </c>
      <c r="G174" s="22" t="s">
        <v>126</v>
      </c>
      <c r="H174" s="22" t="s">
        <v>128</v>
      </c>
      <c r="I174" s="23" t="s">
        <v>124</v>
      </c>
      <c r="J174" s="11"/>
      <c r="K174" s="29" t="str">
        <f>"190,0"</f>
        <v>190,0</v>
      </c>
      <c r="L174" s="11" t="str">
        <f>"112,1950"</f>
        <v>112,1950</v>
      </c>
      <c r="M174" s="10" t="s">
        <v>53</v>
      </c>
    </row>
    <row r="175" spans="1:13" ht="12.75">
      <c r="A175" s="11" t="s">
        <v>65</v>
      </c>
      <c r="B175" s="10" t="s">
        <v>810</v>
      </c>
      <c r="C175" s="10" t="s">
        <v>394</v>
      </c>
      <c r="D175" s="10" t="s">
        <v>308</v>
      </c>
      <c r="E175" s="10" t="str">
        <f>"0,5902"</f>
        <v>0,5902</v>
      </c>
      <c r="F175" s="10" t="s">
        <v>55</v>
      </c>
      <c r="G175" s="22" t="s">
        <v>123</v>
      </c>
      <c r="H175" s="23" t="s">
        <v>124</v>
      </c>
      <c r="I175" s="23" t="s">
        <v>124</v>
      </c>
      <c r="J175" s="11"/>
      <c r="K175" s="29" t="str">
        <f>"185,0"</f>
        <v>185,0</v>
      </c>
      <c r="L175" s="11" t="str">
        <f>"109,1870"</f>
        <v>109,1870</v>
      </c>
      <c r="M175" s="10" t="s">
        <v>631</v>
      </c>
    </row>
    <row r="176" spans="1:13" ht="12.75">
      <c r="A176" s="11" t="s">
        <v>11</v>
      </c>
      <c r="B176" s="10" t="s">
        <v>811</v>
      </c>
      <c r="C176" s="10" t="s">
        <v>812</v>
      </c>
      <c r="D176" s="10" t="s">
        <v>345</v>
      </c>
      <c r="E176" s="10" t="str">
        <f>"0,5919"</f>
        <v>0,5919</v>
      </c>
      <c r="F176" s="10" t="s">
        <v>55</v>
      </c>
      <c r="G176" s="23" t="s">
        <v>128</v>
      </c>
      <c r="H176" s="23" t="s">
        <v>169</v>
      </c>
      <c r="I176" s="23" t="s">
        <v>169</v>
      </c>
      <c r="J176" s="11"/>
      <c r="K176" s="29">
        <v>0</v>
      </c>
      <c r="L176" s="11" t="str">
        <f>"0,0000"</f>
        <v>0,0000</v>
      </c>
      <c r="M176" s="10" t="s">
        <v>813</v>
      </c>
    </row>
    <row r="177" spans="1:13" ht="12.75">
      <c r="A177" s="11" t="s">
        <v>15</v>
      </c>
      <c r="B177" s="10" t="s">
        <v>814</v>
      </c>
      <c r="C177" s="10" t="s">
        <v>815</v>
      </c>
      <c r="D177" s="10" t="s">
        <v>372</v>
      </c>
      <c r="E177" s="10" t="str">
        <f>"0,5941"</f>
        <v>0,5941</v>
      </c>
      <c r="F177" s="10" t="s">
        <v>265</v>
      </c>
      <c r="G177" s="22" t="s">
        <v>126</v>
      </c>
      <c r="H177" s="22" t="s">
        <v>365</v>
      </c>
      <c r="I177" s="23" t="s">
        <v>124</v>
      </c>
      <c r="J177" s="11"/>
      <c r="K177" s="29" t="str">
        <f>"187,5"</f>
        <v>187,5</v>
      </c>
      <c r="L177" s="11" t="str">
        <f>"124,0926"</f>
        <v>124,0926</v>
      </c>
      <c r="M177" s="10" t="s">
        <v>53</v>
      </c>
    </row>
    <row r="178" spans="1:13" ht="12.75">
      <c r="A178" s="11" t="s">
        <v>39</v>
      </c>
      <c r="B178" s="10" t="s">
        <v>816</v>
      </c>
      <c r="C178" s="10" t="s">
        <v>817</v>
      </c>
      <c r="D178" s="10" t="s">
        <v>818</v>
      </c>
      <c r="E178" s="10" t="str">
        <f>"0,6035"</f>
        <v>0,6035</v>
      </c>
      <c r="F178" s="10" t="s">
        <v>352</v>
      </c>
      <c r="G178" s="22" t="s">
        <v>117</v>
      </c>
      <c r="H178" s="23" t="s">
        <v>120</v>
      </c>
      <c r="I178" s="11"/>
      <c r="J178" s="11"/>
      <c r="K178" s="29" t="str">
        <f>"170,0"</f>
        <v>170,0</v>
      </c>
      <c r="L178" s="11" t="str">
        <f>"116,1375"</f>
        <v>116,1375</v>
      </c>
      <c r="M178" s="10" t="s">
        <v>162</v>
      </c>
    </row>
    <row r="179" spans="1:13" ht="12.75">
      <c r="A179" s="11" t="s">
        <v>49</v>
      </c>
      <c r="B179" s="10" t="s">
        <v>819</v>
      </c>
      <c r="C179" s="10" t="s">
        <v>820</v>
      </c>
      <c r="D179" s="10" t="s">
        <v>821</v>
      </c>
      <c r="E179" s="10" t="str">
        <f>"0,6053"</f>
        <v>0,6053</v>
      </c>
      <c r="F179" s="10" t="s">
        <v>55</v>
      </c>
      <c r="G179" s="22" t="s">
        <v>95</v>
      </c>
      <c r="H179" s="23" t="s">
        <v>96</v>
      </c>
      <c r="I179" s="22" t="s">
        <v>96</v>
      </c>
      <c r="J179" s="11"/>
      <c r="K179" s="29" t="str">
        <f>"167,5"</f>
        <v>167,5</v>
      </c>
      <c r="L179" s="11" t="str">
        <f>"107,4710"</f>
        <v>107,4710</v>
      </c>
      <c r="M179" s="10" t="s">
        <v>368</v>
      </c>
    </row>
    <row r="180" spans="1:13" ht="12.75">
      <c r="A180" s="11" t="s">
        <v>15</v>
      </c>
      <c r="B180" s="10" t="s">
        <v>822</v>
      </c>
      <c r="C180" s="10" t="s">
        <v>823</v>
      </c>
      <c r="D180" s="10" t="s">
        <v>824</v>
      </c>
      <c r="E180" s="10" t="str">
        <f>"0,5935"</f>
        <v>0,5935</v>
      </c>
      <c r="F180" s="10" t="s">
        <v>55</v>
      </c>
      <c r="G180" s="22" t="s">
        <v>81</v>
      </c>
      <c r="H180" s="23" t="s">
        <v>200</v>
      </c>
      <c r="I180" s="23" t="s">
        <v>200</v>
      </c>
      <c r="J180" s="11"/>
      <c r="K180" s="29" t="str">
        <f>"157,5"</f>
        <v>157,5</v>
      </c>
      <c r="L180" s="11" t="str">
        <f>"109,1803"</f>
        <v>109,1803</v>
      </c>
      <c r="M180" s="10" t="s">
        <v>53</v>
      </c>
    </row>
    <row r="181" spans="1:13" ht="12.75">
      <c r="A181" s="11" t="s">
        <v>15</v>
      </c>
      <c r="B181" s="10" t="s">
        <v>825</v>
      </c>
      <c r="C181" s="10" t="s">
        <v>826</v>
      </c>
      <c r="D181" s="10" t="s">
        <v>827</v>
      </c>
      <c r="E181" s="10" t="str">
        <f>"0,6006"</f>
        <v>0,6006</v>
      </c>
      <c r="F181" s="10" t="s">
        <v>166</v>
      </c>
      <c r="G181" s="22" t="s">
        <v>85</v>
      </c>
      <c r="H181" s="22" t="s">
        <v>80</v>
      </c>
      <c r="I181" s="22" t="s">
        <v>48</v>
      </c>
      <c r="J181" s="11"/>
      <c r="K181" s="29" t="str">
        <f>"142,5"</f>
        <v>142,5</v>
      </c>
      <c r="L181" s="11" t="str">
        <f>"133,9413"</f>
        <v>133,9413</v>
      </c>
      <c r="M181" s="10" t="s">
        <v>53</v>
      </c>
    </row>
    <row r="182" spans="1:13" ht="12.75">
      <c r="A182" s="13" t="s">
        <v>39</v>
      </c>
      <c r="B182" s="12" t="s">
        <v>828</v>
      </c>
      <c r="C182" s="12" t="s">
        <v>829</v>
      </c>
      <c r="D182" s="12" t="s">
        <v>830</v>
      </c>
      <c r="E182" s="12" t="str">
        <f>"0,5970"</f>
        <v>0,5970</v>
      </c>
      <c r="F182" s="40" t="s">
        <v>831</v>
      </c>
      <c r="G182" s="24" t="s">
        <v>85</v>
      </c>
      <c r="H182" s="24" t="s">
        <v>80</v>
      </c>
      <c r="I182" s="25" t="s">
        <v>36</v>
      </c>
      <c r="J182" s="13"/>
      <c r="K182" s="28" t="str">
        <f>"140,0"</f>
        <v>140,0</v>
      </c>
      <c r="L182" s="13" t="str">
        <f>"125,4536"</f>
        <v>125,4536</v>
      </c>
      <c r="M182" s="12" t="s">
        <v>53</v>
      </c>
    </row>
    <row r="183" ht="12.75">
      <c r="B183" s="4" t="s">
        <v>26</v>
      </c>
    </row>
    <row r="184" spans="1:10" ht="15">
      <c r="A184" s="45" t="s">
        <v>208</v>
      </c>
      <c r="B184" s="45"/>
      <c r="C184" s="45"/>
      <c r="D184" s="45"/>
      <c r="E184" s="45"/>
      <c r="F184" s="45"/>
      <c r="G184" s="45"/>
      <c r="H184" s="45"/>
      <c r="I184" s="45"/>
      <c r="J184" s="45"/>
    </row>
    <row r="185" spans="1:13" ht="12.75">
      <c r="A185" s="9" t="s">
        <v>15</v>
      </c>
      <c r="B185" s="8" t="s">
        <v>832</v>
      </c>
      <c r="C185" s="8" t="s">
        <v>833</v>
      </c>
      <c r="D185" s="8" t="s">
        <v>414</v>
      </c>
      <c r="E185" s="8" t="str">
        <f>"0,5745"</f>
        <v>0,5745</v>
      </c>
      <c r="F185" s="8" t="s">
        <v>55</v>
      </c>
      <c r="G185" s="20" t="s">
        <v>123</v>
      </c>
      <c r="H185" s="20" t="s">
        <v>128</v>
      </c>
      <c r="I185" s="21" t="s">
        <v>124</v>
      </c>
      <c r="J185" s="9"/>
      <c r="K185" s="27" t="str">
        <f>"190,0"</f>
        <v>190,0</v>
      </c>
      <c r="L185" s="9" t="str">
        <f>"109,1550"</f>
        <v>109,1550</v>
      </c>
      <c r="M185" s="8" t="s">
        <v>53</v>
      </c>
    </row>
    <row r="186" spans="1:13" ht="12.75">
      <c r="A186" s="11" t="s">
        <v>39</v>
      </c>
      <c r="B186" s="10" t="s">
        <v>834</v>
      </c>
      <c r="C186" s="10" t="s">
        <v>835</v>
      </c>
      <c r="D186" s="10" t="s">
        <v>212</v>
      </c>
      <c r="E186" s="10" t="str">
        <f>"0,5723"</f>
        <v>0,5723</v>
      </c>
      <c r="F186" s="10" t="s">
        <v>55</v>
      </c>
      <c r="G186" s="23" t="s">
        <v>128</v>
      </c>
      <c r="H186" s="22" t="s">
        <v>128</v>
      </c>
      <c r="I186" s="23" t="s">
        <v>139</v>
      </c>
      <c r="J186" s="11"/>
      <c r="K186" s="29" t="str">
        <f>"190,0"</f>
        <v>190,0</v>
      </c>
      <c r="L186" s="11" t="str">
        <f>"108,7370"</f>
        <v>108,7370</v>
      </c>
      <c r="M186" s="10" t="s">
        <v>836</v>
      </c>
    </row>
    <row r="187" spans="1:13" ht="12.75">
      <c r="A187" s="11" t="s">
        <v>15</v>
      </c>
      <c r="B187" s="10" t="s">
        <v>403</v>
      </c>
      <c r="C187" s="10" t="s">
        <v>404</v>
      </c>
      <c r="D187" s="10" t="s">
        <v>405</v>
      </c>
      <c r="E187" s="10" t="str">
        <f>"0,5698"</f>
        <v>0,5698</v>
      </c>
      <c r="F187" s="10" t="s">
        <v>406</v>
      </c>
      <c r="G187" s="22" t="s">
        <v>139</v>
      </c>
      <c r="H187" s="22" t="s">
        <v>151</v>
      </c>
      <c r="I187" s="22" t="s">
        <v>143</v>
      </c>
      <c r="J187" s="11"/>
      <c r="K187" s="29" t="str">
        <f>"217,5"</f>
        <v>217,5</v>
      </c>
      <c r="L187" s="11" t="str">
        <f>"123,9315"</f>
        <v>123,9315</v>
      </c>
      <c r="M187" s="10" t="s">
        <v>53</v>
      </c>
    </row>
    <row r="188" spans="1:13" ht="12.75">
      <c r="A188" s="11" t="s">
        <v>39</v>
      </c>
      <c r="B188" s="10" t="s">
        <v>837</v>
      </c>
      <c r="C188" s="10" t="s">
        <v>838</v>
      </c>
      <c r="D188" s="10" t="s">
        <v>839</v>
      </c>
      <c r="E188" s="10" t="str">
        <f>"0,5860"</f>
        <v>0,5860</v>
      </c>
      <c r="F188" s="10" t="s">
        <v>127</v>
      </c>
      <c r="G188" s="22" t="s">
        <v>128</v>
      </c>
      <c r="H188" s="22" t="s">
        <v>124</v>
      </c>
      <c r="I188" s="22" t="s">
        <v>125</v>
      </c>
      <c r="J188" s="11"/>
      <c r="K188" s="29" t="str">
        <f>"200,0"</f>
        <v>200,0</v>
      </c>
      <c r="L188" s="11" t="str">
        <f>"117,2000"</f>
        <v>117,2000</v>
      </c>
      <c r="M188" s="10" t="s">
        <v>129</v>
      </c>
    </row>
    <row r="189" spans="1:13" ht="12.75">
      <c r="A189" s="11" t="s">
        <v>49</v>
      </c>
      <c r="B189" s="10" t="s">
        <v>840</v>
      </c>
      <c r="C189" s="10" t="s">
        <v>841</v>
      </c>
      <c r="D189" s="10" t="s">
        <v>842</v>
      </c>
      <c r="E189" s="10" t="str">
        <f>"0,5790"</f>
        <v>0,5790</v>
      </c>
      <c r="F189" s="10" t="s">
        <v>55</v>
      </c>
      <c r="G189" s="22" t="s">
        <v>60</v>
      </c>
      <c r="H189" s="22" t="s">
        <v>51</v>
      </c>
      <c r="I189" s="22" t="s">
        <v>61</v>
      </c>
      <c r="J189" s="11"/>
      <c r="K189" s="29" t="str">
        <f>"120,0"</f>
        <v>120,0</v>
      </c>
      <c r="L189" s="11" t="str">
        <f>"69,4800"</f>
        <v>69,4800</v>
      </c>
      <c r="M189" s="10" t="s">
        <v>582</v>
      </c>
    </row>
    <row r="190" spans="1:13" ht="12.75">
      <c r="A190" s="11" t="s">
        <v>11</v>
      </c>
      <c r="B190" s="10" t="s">
        <v>843</v>
      </c>
      <c r="C190" s="10" t="s">
        <v>844</v>
      </c>
      <c r="D190" s="10" t="s">
        <v>845</v>
      </c>
      <c r="E190" s="10" t="str">
        <f>"0,5769"</f>
        <v>0,5769</v>
      </c>
      <c r="F190" s="10" t="s">
        <v>55</v>
      </c>
      <c r="G190" s="23" t="s">
        <v>125</v>
      </c>
      <c r="H190" s="23" t="s">
        <v>125</v>
      </c>
      <c r="I190" s="11"/>
      <c r="J190" s="11"/>
      <c r="K190" s="29">
        <v>0</v>
      </c>
      <c r="L190" s="11" t="str">
        <f>"0,0000"</f>
        <v>0,0000</v>
      </c>
      <c r="M190" s="10" t="s">
        <v>53</v>
      </c>
    </row>
    <row r="191" spans="1:13" ht="12.75">
      <c r="A191" s="11" t="s">
        <v>15</v>
      </c>
      <c r="B191" s="10" t="s">
        <v>846</v>
      </c>
      <c r="C191" s="10" t="s">
        <v>847</v>
      </c>
      <c r="D191" s="10" t="s">
        <v>848</v>
      </c>
      <c r="E191" s="10" t="str">
        <f>"0,5743"</f>
        <v>0,5743</v>
      </c>
      <c r="F191" s="10" t="s">
        <v>192</v>
      </c>
      <c r="G191" s="22" t="s">
        <v>95</v>
      </c>
      <c r="H191" s="22" t="s">
        <v>117</v>
      </c>
      <c r="I191" s="23" t="s">
        <v>167</v>
      </c>
      <c r="J191" s="11"/>
      <c r="K191" s="29" t="str">
        <f>"170,0"</f>
        <v>170,0</v>
      </c>
      <c r="L191" s="11" t="str">
        <f>"97,6310"</f>
        <v>97,6310</v>
      </c>
      <c r="M191" s="10" t="s">
        <v>849</v>
      </c>
    </row>
    <row r="192" spans="1:13" ht="12.75">
      <c r="A192" s="11" t="s">
        <v>11</v>
      </c>
      <c r="B192" s="10" t="s">
        <v>850</v>
      </c>
      <c r="C192" s="10" t="s">
        <v>851</v>
      </c>
      <c r="D192" s="10" t="s">
        <v>405</v>
      </c>
      <c r="E192" s="10" t="str">
        <f>"0,5698"</f>
        <v>0,5698</v>
      </c>
      <c r="F192" s="10" t="s">
        <v>265</v>
      </c>
      <c r="G192" s="23" t="s">
        <v>123</v>
      </c>
      <c r="H192" s="23" t="s">
        <v>123</v>
      </c>
      <c r="I192" s="23" t="s">
        <v>123</v>
      </c>
      <c r="J192" s="11"/>
      <c r="K192" s="29">
        <v>0</v>
      </c>
      <c r="L192" s="11" t="str">
        <f>"0,0000"</f>
        <v>0,0000</v>
      </c>
      <c r="M192" s="10" t="s">
        <v>852</v>
      </c>
    </row>
    <row r="193" spans="1:13" ht="12.75">
      <c r="A193" s="11" t="s">
        <v>15</v>
      </c>
      <c r="B193" s="10" t="s">
        <v>853</v>
      </c>
      <c r="C193" s="10" t="s">
        <v>854</v>
      </c>
      <c r="D193" s="10" t="s">
        <v>855</v>
      </c>
      <c r="E193" s="10" t="str">
        <f>"0,5733"</f>
        <v>0,5733</v>
      </c>
      <c r="F193" s="10" t="s">
        <v>55</v>
      </c>
      <c r="G193" s="23" t="s">
        <v>125</v>
      </c>
      <c r="H193" s="22" t="s">
        <v>132</v>
      </c>
      <c r="I193" s="22" t="s">
        <v>133</v>
      </c>
      <c r="J193" s="11"/>
      <c r="K193" s="29" t="str">
        <f>"215,0"</f>
        <v>215,0</v>
      </c>
      <c r="L193" s="11" t="str">
        <f>"141,7484"</f>
        <v>141,7484</v>
      </c>
      <c r="M193" s="10" t="s">
        <v>856</v>
      </c>
    </row>
    <row r="194" spans="1:13" ht="12.75">
      <c r="A194" s="11" t="s">
        <v>39</v>
      </c>
      <c r="B194" s="10" t="s">
        <v>857</v>
      </c>
      <c r="C194" s="10" t="s">
        <v>858</v>
      </c>
      <c r="D194" s="10" t="s">
        <v>859</v>
      </c>
      <c r="E194" s="10" t="str">
        <f>"0,5801"</f>
        <v>0,5801</v>
      </c>
      <c r="F194" s="10" t="s">
        <v>252</v>
      </c>
      <c r="G194" s="22" t="s">
        <v>120</v>
      </c>
      <c r="H194" s="22" t="s">
        <v>159</v>
      </c>
      <c r="I194" s="22" t="s">
        <v>123</v>
      </c>
      <c r="J194" s="11"/>
      <c r="K194" s="29" t="str">
        <f>"185,0"</f>
        <v>185,0</v>
      </c>
      <c r="L194" s="11" t="str">
        <f>"131,7871"</f>
        <v>131,7871</v>
      </c>
      <c r="M194" s="10" t="s">
        <v>53</v>
      </c>
    </row>
    <row r="195" spans="1:13" ht="12.75">
      <c r="A195" s="13" t="s">
        <v>15</v>
      </c>
      <c r="B195" s="12" t="s">
        <v>860</v>
      </c>
      <c r="C195" s="12" t="s">
        <v>861</v>
      </c>
      <c r="D195" s="12" t="s">
        <v>862</v>
      </c>
      <c r="E195" s="12" t="str">
        <f>"0,5847"</f>
        <v>0,5847</v>
      </c>
      <c r="F195" s="40" t="s">
        <v>863</v>
      </c>
      <c r="G195" s="24" t="s">
        <v>80</v>
      </c>
      <c r="H195" s="24" t="s">
        <v>36</v>
      </c>
      <c r="I195" s="25" t="s">
        <v>37</v>
      </c>
      <c r="J195" s="13"/>
      <c r="K195" s="28" t="str">
        <f>"145,0"</f>
        <v>145,0</v>
      </c>
      <c r="L195" s="13" t="str">
        <f>"119,5419"</f>
        <v>119,5419</v>
      </c>
      <c r="M195" s="12" t="s">
        <v>864</v>
      </c>
    </row>
    <row r="196" ht="12.75">
      <c r="B196" s="4" t="s">
        <v>26</v>
      </c>
    </row>
    <row r="197" spans="1:10" ht="15">
      <c r="A197" s="45" t="s">
        <v>214</v>
      </c>
      <c r="B197" s="45"/>
      <c r="C197" s="45"/>
      <c r="D197" s="45"/>
      <c r="E197" s="45"/>
      <c r="F197" s="45"/>
      <c r="G197" s="45"/>
      <c r="H197" s="45"/>
      <c r="I197" s="45"/>
      <c r="J197" s="45"/>
    </row>
    <row r="198" spans="1:13" ht="12.75">
      <c r="A198" s="9" t="s">
        <v>15</v>
      </c>
      <c r="B198" s="8" t="s">
        <v>865</v>
      </c>
      <c r="C198" s="8" t="s">
        <v>866</v>
      </c>
      <c r="D198" s="8" t="s">
        <v>867</v>
      </c>
      <c r="E198" s="8" t="str">
        <f>"0,5641"</f>
        <v>0,5641</v>
      </c>
      <c r="F198" s="39" t="s">
        <v>868</v>
      </c>
      <c r="G198" s="20" t="s">
        <v>125</v>
      </c>
      <c r="H198" s="21" t="s">
        <v>132</v>
      </c>
      <c r="I198" s="21" t="s">
        <v>132</v>
      </c>
      <c r="J198" s="9"/>
      <c r="K198" s="27" t="str">
        <f>"200,0"</f>
        <v>200,0</v>
      </c>
      <c r="L198" s="9" t="str">
        <f>"123,6507"</f>
        <v>123,6507</v>
      </c>
      <c r="M198" s="8" t="s">
        <v>53</v>
      </c>
    </row>
    <row r="199" spans="1:13" ht="12.75">
      <c r="A199" s="13" t="s">
        <v>15</v>
      </c>
      <c r="B199" s="12" t="s">
        <v>869</v>
      </c>
      <c r="C199" s="12" t="s">
        <v>870</v>
      </c>
      <c r="D199" s="12" t="s">
        <v>871</v>
      </c>
      <c r="E199" s="12" t="str">
        <f>"0,5595"</f>
        <v>0,5595</v>
      </c>
      <c r="F199" s="12" t="s">
        <v>55</v>
      </c>
      <c r="G199" s="24" t="s">
        <v>159</v>
      </c>
      <c r="H199" s="24" t="s">
        <v>149</v>
      </c>
      <c r="I199" s="24" t="s">
        <v>139</v>
      </c>
      <c r="J199" s="25" t="s">
        <v>872</v>
      </c>
      <c r="K199" s="28" t="str">
        <f>"202,5"</f>
        <v>202,5</v>
      </c>
      <c r="L199" s="13" t="str">
        <f>"139,1309"</f>
        <v>139,1309</v>
      </c>
      <c r="M199" s="12" t="s">
        <v>53</v>
      </c>
    </row>
    <row r="200" ht="12.75">
      <c r="B200" s="4" t="s">
        <v>26</v>
      </c>
    </row>
    <row r="201" spans="1:10" ht="15">
      <c r="A201" s="45" t="s">
        <v>217</v>
      </c>
      <c r="B201" s="45"/>
      <c r="C201" s="45"/>
      <c r="D201" s="45"/>
      <c r="E201" s="45"/>
      <c r="F201" s="45"/>
      <c r="G201" s="45"/>
      <c r="H201" s="45"/>
      <c r="I201" s="45"/>
      <c r="J201" s="45"/>
    </row>
    <row r="202" spans="1:13" ht="12.75">
      <c r="A202" s="9" t="s">
        <v>15</v>
      </c>
      <c r="B202" s="8" t="s">
        <v>873</v>
      </c>
      <c r="C202" s="8" t="s">
        <v>874</v>
      </c>
      <c r="D202" s="8" t="s">
        <v>875</v>
      </c>
      <c r="E202" s="8" t="str">
        <f>"0,5485"</f>
        <v>0,5485</v>
      </c>
      <c r="F202" s="39" t="s">
        <v>876</v>
      </c>
      <c r="G202" s="20" t="s">
        <v>182</v>
      </c>
      <c r="H202" s="21" t="s">
        <v>269</v>
      </c>
      <c r="I202" s="21" t="s">
        <v>269</v>
      </c>
      <c r="J202" s="9"/>
      <c r="K202" s="27" t="str">
        <f>"232,5"</f>
        <v>232,5</v>
      </c>
      <c r="L202" s="9" t="str">
        <f>"127,5263"</f>
        <v>127,5263</v>
      </c>
      <c r="M202" s="8" t="s">
        <v>877</v>
      </c>
    </row>
    <row r="203" spans="1:13" ht="12.75">
      <c r="A203" s="13" t="s">
        <v>15</v>
      </c>
      <c r="B203" s="12" t="s">
        <v>873</v>
      </c>
      <c r="C203" s="12" t="s">
        <v>878</v>
      </c>
      <c r="D203" s="12" t="s">
        <v>875</v>
      </c>
      <c r="E203" s="12" t="str">
        <f>"0,5485"</f>
        <v>0,5485</v>
      </c>
      <c r="F203" s="12" t="s">
        <v>876</v>
      </c>
      <c r="G203" s="24" t="s">
        <v>182</v>
      </c>
      <c r="H203" s="25" t="s">
        <v>269</v>
      </c>
      <c r="I203" s="25" t="s">
        <v>269</v>
      </c>
      <c r="J203" s="13"/>
      <c r="K203" s="28" t="str">
        <f>"232,5"</f>
        <v>232,5</v>
      </c>
      <c r="L203" s="13" t="str">
        <f>"142,0642"</f>
        <v>142,0642</v>
      </c>
      <c r="M203" s="12" t="s">
        <v>877</v>
      </c>
    </row>
    <row r="204" ht="12.75">
      <c r="B204" s="4" t="s">
        <v>26</v>
      </c>
    </row>
    <row r="205" ht="12.75">
      <c r="B205" s="4" t="s">
        <v>26</v>
      </c>
    </row>
    <row r="206" ht="12.75">
      <c r="B206" s="4" t="s">
        <v>26</v>
      </c>
    </row>
    <row r="207" spans="2:6" ht="18">
      <c r="B207" s="14" t="s">
        <v>218</v>
      </c>
      <c r="C207" s="14"/>
      <c r="F207" s="3"/>
    </row>
    <row r="208" spans="2:6" ht="15">
      <c r="B208" s="44" t="s">
        <v>229</v>
      </c>
      <c r="C208" s="44"/>
      <c r="F208" s="3"/>
    </row>
    <row r="209" spans="2:6" ht="14.25">
      <c r="B209" s="15"/>
      <c r="C209" s="16" t="s">
        <v>230</v>
      </c>
      <c r="F209" s="3"/>
    </row>
    <row r="210" spans="2:6" ht="15">
      <c r="B210" s="17" t="s">
        <v>221</v>
      </c>
      <c r="C210" s="17" t="s">
        <v>222</v>
      </c>
      <c r="D210" s="17" t="s">
        <v>223</v>
      </c>
      <c r="E210" s="17" t="s">
        <v>879</v>
      </c>
      <c r="F210" s="17" t="s">
        <v>224</v>
      </c>
    </row>
    <row r="211" spans="2:6" ht="12.75">
      <c r="B211" s="4" t="s">
        <v>601</v>
      </c>
      <c r="C211" s="4" t="s">
        <v>231</v>
      </c>
      <c r="D211" s="5" t="s">
        <v>232</v>
      </c>
      <c r="E211" s="5" t="s">
        <v>117</v>
      </c>
      <c r="F211" s="5" t="s">
        <v>880</v>
      </c>
    </row>
    <row r="212" spans="2:6" ht="12.75">
      <c r="B212" s="4" t="s">
        <v>531</v>
      </c>
      <c r="C212" s="4" t="s">
        <v>231</v>
      </c>
      <c r="D212" s="5" t="s">
        <v>228</v>
      </c>
      <c r="E212" s="5" t="s">
        <v>87</v>
      </c>
      <c r="F212" s="5" t="s">
        <v>881</v>
      </c>
    </row>
    <row r="213" spans="2:6" ht="12.75">
      <c r="B213" s="4" t="s">
        <v>535</v>
      </c>
      <c r="C213" s="4" t="s">
        <v>231</v>
      </c>
      <c r="D213" s="5" t="s">
        <v>228</v>
      </c>
      <c r="E213" s="5" t="s">
        <v>52</v>
      </c>
      <c r="F213" s="5" t="s">
        <v>882</v>
      </c>
    </row>
    <row r="215" spans="2:3" ht="14.25">
      <c r="B215" s="15"/>
      <c r="C215" s="16" t="s">
        <v>233</v>
      </c>
    </row>
    <row r="216" spans="2:6" ht="15">
      <c r="B216" s="17" t="s">
        <v>221</v>
      </c>
      <c r="C216" s="17" t="s">
        <v>222</v>
      </c>
      <c r="D216" s="17" t="s">
        <v>223</v>
      </c>
      <c r="E216" s="17" t="s">
        <v>879</v>
      </c>
      <c r="F216" s="17" t="s">
        <v>224</v>
      </c>
    </row>
    <row r="217" spans="2:6" ht="12.75">
      <c r="B217" s="4" t="s">
        <v>750</v>
      </c>
      <c r="C217" s="4" t="s">
        <v>233</v>
      </c>
      <c r="D217" s="5" t="s">
        <v>241</v>
      </c>
      <c r="E217" s="5" t="s">
        <v>169</v>
      </c>
      <c r="F217" s="5" t="s">
        <v>883</v>
      </c>
    </row>
    <row r="218" spans="2:6" ht="12.75">
      <c r="B218" s="4" t="s">
        <v>832</v>
      </c>
      <c r="C218" s="4" t="s">
        <v>233</v>
      </c>
      <c r="D218" s="5" t="s">
        <v>234</v>
      </c>
      <c r="E218" s="5" t="s">
        <v>128</v>
      </c>
      <c r="F218" s="5" t="s">
        <v>884</v>
      </c>
    </row>
    <row r="219" spans="2:6" ht="12.75">
      <c r="B219" s="4" t="s">
        <v>834</v>
      </c>
      <c r="C219" s="4" t="s">
        <v>233</v>
      </c>
      <c r="D219" s="5" t="s">
        <v>234</v>
      </c>
      <c r="E219" s="5" t="s">
        <v>128</v>
      </c>
      <c r="F219" s="5" t="s">
        <v>885</v>
      </c>
    </row>
    <row r="221" spans="2:3" ht="14.25">
      <c r="B221" s="15"/>
      <c r="C221" s="16" t="s">
        <v>220</v>
      </c>
    </row>
    <row r="222" spans="2:6" ht="15">
      <c r="B222" s="17" t="s">
        <v>221</v>
      </c>
      <c r="C222" s="17" t="s">
        <v>222</v>
      </c>
      <c r="D222" s="17" t="s">
        <v>223</v>
      </c>
      <c r="E222" s="17" t="s">
        <v>879</v>
      </c>
      <c r="F222" s="17" t="s">
        <v>224</v>
      </c>
    </row>
    <row r="223" spans="2:6" ht="12.75">
      <c r="B223" s="4" t="s">
        <v>801</v>
      </c>
      <c r="C223" s="4" t="s">
        <v>220</v>
      </c>
      <c r="D223" s="5" t="s">
        <v>323</v>
      </c>
      <c r="E223" s="5" t="s">
        <v>147</v>
      </c>
      <c r="F223" s="5" t="s">
        <v>886</v>
      </c>
    </row>
    <row r="224" spans="2:6" ht="12.75">
      <c r="B224" s="4" t="s">
        <v>805</v>
      </c>
      <c r="C224" s="4" t="s">
        <v>220</v>
      </c>
      <c r="D224" s="5" t="s">
        <v>323</v>
      </c>
      <c r="E224" s="5" t="s">
        <v>146</v>
      </c>
      <c r="F224" s="5" t="s">
        <v>887</v>
      </c>
    </row>
    <row r="225" spans="2:6" ht="12.75">
      <c r="B225" s="4" t="s">
        <v>873</v>
      </c>
      <c r="C225" s="4" t="s">
        <v>220</v>
      </c>
      <c r="D225" s="5" t="s">
        <v>888</v>
      </c>
      <c r="E225" s="5" t="s">
        <v>182</v>
      </c>
      <c r="F225" s="5" t="s">
        <v>889</v>
      </c>
    </row>
    <row r="227" spans="2:3" ht="14.25">
      <c r="B227" s="15"/>
      <c r="C227" s="16" t="s">
        <v>238</v>
      </c>
    </row>
    <row r="228" spans="2:6" ht="15">
      <c r="B228" s="17" t="s">
        <v>221</v>
      </c>
      <c r="C228" s="17" t="s">
        <v>222</v>
      </c>
      <c r="D228" s="17" t="s">
        <v>223</v>
      </c>
      <c r="E228" s="17" t="s">
        <v>879</v>
      </c>
      <c r="F228" s="17" t="s">
        <v>224</v>
      </c>
    </row>
    <row r="229" spans="2:6" ht="12.75">
      <c r="B229" s="4" t="s">
        <v>666</v>
      </c>
      <c r="C229" s="4" t="s">
        <v>240</v>
      </c>
      <c r="D229" s="5" t="s">
        <v>232</v>
      </c>
      <c r="E229" s="5" t="s">
        <v>61</v>
      </c>
      <c r="F229" s="5" t="s">
        <v>890</v>
      </c>
    </row>
    <row r="230" spans="2:6" ht="12.75">
      <c r="B230" s="4" t="s">
        <v>797</v>
      </c>
      <c r="C230" s="4" t="s">
        <v>415</v>
      </c>
      <c r="D230" s="5" t="s">
        <v>241</v>
      </c>
      <c r="E230" s="5" t="s">
        <v>37</v>
      </c>
      <c r="F230" s="5" t="s">
        <v>891</v>
      </c>
    </row>
    <row r="231" spans="2:6" ht="12.75">
      <c r="B231" s="4" t="s">
        <v>873</v>
      </c>
      <c r="C231" s="4" t="s">
        <v>242</v>
      </c>
      <c r="D231" s="5" t="s">
        <v>888</v>
      </c>
      <c r="E231" s="5" t="s">
        <v>182</v>
      </c>
      <c r="F231" s="5" t="s">
        <v>892</v>
      </c>
    </row>
    <row r="232" ht="12.75">
      <c r="B232" s="4" t="s">
        <v>26</v>
      </c>
    </row>
  </sheetData>
  <sheetProtection/>
  <mergeCells count="30">
    <mergeCell ref="A20:J20"/>
    <mergeCell ref="A29:J29"/>
    <mergeCell ref="A35:J35"/>
    <mergeCell ref="A1:M2"/>
    <mergeCell ref="A3:A4"/>
    <mergeCell ref="C3:C4"/>
    <mergeCell ref="D3:D4"/>
    <mergeCell ref="E3:E4"/>
    <mergeCell ref="F3:F4"/>
    <mergeCell ref="G3:J3"/>
    <mergeCell ref="A184:J184"/>
    <mergeCell ref="A197:J197"/>
    <mergeCell ref="A46:J46"/>
    <mergeCell ref="K3:K4"/>
    <mergeCell ref="L3:L4"/>
    <mergeCell ref="M3:M4"/>
    <mergeCell ref="A5:J5"/>
    <mergeCell ref="B3:B4"/>
    <mergeCell ref="A8:J8"/>
    <mergeCell ref="A11:J11"/>
    <mergeCell ref="A201:J201"/>
    <mergeCell ref="A51:J51"/>
    <mergeCell ref="A54:J54"/>
    <mergeCell ref="A57:J57"/>
    <mergeCell ref="A60:J60"/>
    <mergeCell ref="A73:J73"/>
    <mergeCell ref="A92:J92"/>
    <mergeCell ref="A119:J119"/>
    <mergeCell ref="A145:J145"/>
    <mergeCell ref="A170:J17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4">
      <selection activeCell="F10" sqref="F10"/>
    </sheetView>
  </sheetViews>
  <sheetFormatPr defaultColWidth="9.125" defaultRowHeight="12.75"/>
  <cols>
    <col min="1" max="1" width="7.375" style="4" bestFit="1" customWidth="1"/>
    <col min="2" max="2" width="19.25390625" style="4" bestFit="1" customWidth="1"/>
    <col min="3" max="3" width="27.375" style="4" bestFit="1" customWidth="1"/>
    <col min="4" max="4" width="21.375" style="4" bestFit="1" customWidth="1"/>
    <col min="5" max="5" width="10.375" style="4" bestFit="1" customWidth="1"/>
    <col min="6" max="6" width="23.125" style="4" bestFit="1" customWidth="1"/>
    <col min="7" max="9" width="5.375" style="5" customWidth="1"/>
    <col min="10" max="10" width="4.875" style="5" customWidth="1"/>
    <col min="11" max="11" width="10.375" style="26" bestFit="1" customWidth="1"/>
    <col min="12" max="12" width="8.375" style="5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56" t="s">
        <v>1392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1.5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0</v>
      </c>
      <c r="B3" s="54" t="s">
        <v>1</v>
      </c>
      <c r="C3" s="66" t="s">
        <v>2</v>
      </c>
      <c r="D3" s="66" t="s">
        <v>1393</v>
      </c>
      <c r="E3" s="48" t="s">
        <v>1236</v>
      </c>
      <c r="F3" s="48" t="s">
        <v>5</v>
      </c>
      <c r="G3" s="48" t="s">
        <v>6</v>
      </c>
      <c r="H3" s="48"/>
      <c r="I3" s="48"/>
      <c r="J3" s="48"/>
      <c r="K3" s="46" t="s">
        <v>417</v>
      </c>
      <c r="L3" s="48" t="s">
        <v>7</v>
      </c>
      <c r="M3" s="50" t="s">
        <v>8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3">
        <v>1</v>
      </c>
      <c r="H4" s="43">
        <v>2</v>
      </c>
      <c r="I4" s="43">
        <v>3</v>
      </c>
      <c r="J4" s="43" t="s">
        <v>9</v>
      </c>
      <c r="K4" s="47"/>
      <c r="L4" s="49"/>
      <c r="M4" s="51"/>
    </row>
    <row r="5" spans="1:10" ht="15">
      <c r="A5" s="52" t="s">
        <v>107</v>
      </c>
      <c r="B5" s="52"/>
      <c r="C5" s="53"/>
      <c r="D5" s="53"/>
      <c r="E5" s="53"/>
      <c r="F5" s="53"/>
      <c r="G5" s="53"/>
      <c r="H5" s="53"/>
      <c r="I5" s="53"/>
      <c r="J5" s="53"/>
    </row>
    <row r="6" spans="1:13" ht="12.75">
      <c r="A6" s="7" t="s">
        <v>15</v>
      </c>
      <c r="B6" s="6" t="s">
        <v>1394</v>
      </c>
      <c r="C6" s="6" t="s">
        <v>1395</v>
      </c>
      <c r="D6" s="6" t="s">
        <v>572</v>
      </c>
      <c r="E6" s="6" t="str">
        <f>"0,7005"</f>
        <v>0,7005</v>
      </c>
      <c r="F6" s="6" t="s">
        <v>252</v>
      </c>
      <c r="G6" s="18" t="s">
        <v>126</v>
      </c>
      <c r="H6" s="18" t="s">
        <v>128</v>
      </c>
      <c r="I6" s="19" t="s">
        <v>143</v>
      </c>
      <c r="J6" s="7"/>
      <c r="K6" s="30" t="str">
        <f>"190,0"</f>
        <v>190,0</v>
      </c>
      <c r="L6" s="7" t="str">
        <f>"133,0855"</f>
        <v>133,0855</v>
      </c>
      <c r="M6" s="6" t="s">
        <v>1396</v>
      </c>
    </row>
    <row r="7" ht="12.75">
      <c r="B7" s="4" t="s">
        <v>26</v>
      </c>
    </row>
    <row r="8" spans="1:10" ht="15">
      <c r="A8" s="45" t="s">
        <v>115</v>
      </c>
      <c r="B8" s="45"/>
      <c r="C8" s="45"/>
      <c r="D8" s="45"/>
      <c r="E8" s="45"/>
      <c r="F8" s="45"/>
      <c r="G8" s="45"/>
      <c r="H8" s="45"/>
      <c r="I8" s="45"/>
      <c r="J8" s="45"/>
    </row>
    <row r="9" spans="1:13" ht="12.75">
      <c r="A9" s="9" t="s">
        <v>15</v>
      </c>
      <c r="B9" s="8" t="s">
        <v>1397</v>
      </c>
      <c r="C9" s="8" t="s">
        <v>1398</v>
      </c>
      <c r="D9" s="8" t="s">
        <v>1399</v>
      </c>
      <c r="E9" s="8" t="str">
        <f>"0,6749"</f>
        <v>0,6749</v>
      </c>
      <c r="F9" s="8" t="s">
        <v>352</v>
      </c>
      <c r="G9" s="20" t="s">
        <v>183</v>
      </c>
      <c r="H9" s="21" t="s">
        <v>215</v>
      </c>
      <c r="I9" s="21" t="s">
        <v>215</v>
      </c>
      <c r="J9" s="9"/>
      <c r="K9" s="27" t="str">
        <f>"275,0"</f>
        <v>275,0</v>
      </c>
      <c r="L9" s="9" t="str">
        <f>"185,5975"</f>
        <v>185,5975</v>
      </c>
      <c r="M9" s="8" t="s">
        <v>53</v>
      </c>
    </row>
    <row r="10" spans="1:13" ht="12.75">
      <c r="A10" s="13" t="s">
        <v>11</v>
      </c>
      <c r="B10" s="12" t="s">
        <v>1400</v>
      </c>
      <c r="C10" s="12" t="s">
        <v>1401</v>
      </c>
      <c r="D10" s="12" t="s">
        <v>174</v>
      </c>
      <c r="E10" s="12" t="str">
        <f>"0,6451"</f>
        <v>0,6451</v>
      </c>
      <c r="F10" s="40" t="s">
        <v>1402</v>
      </c>
      <c r="G10" s="25" t="s">
        <v>183</v>
      </c>
      <c r="H10" s="25" t="s">
        <v>183</v>
      </c>
      <c r="I10" s="25" t="s">
        <v>183</v>
      </c>
      <c r="J10" s="13"/>
      <c r="K10" s="28">
        <v>0</v>
      </c>
      <c r="L10" s="13" t="str">
        <f>"0,0000"</f>
        <v>0,0000</v>
      </c>
      <c r="M10" s="12" t="s">
        <v>177</v>
      </c>
    </row>
    <row r="11" ht="12.75">
      <c r="B11" s="4" t="s">
        <v>26</v>
      </c>
    </row>
    <row r="12" spans="1:10" ht="15">
      <c r="A12" s="45" t="s">
        <v>118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3" ht="12.75">
      <c r="A13" s="7" t="s">
        <v>15</v>
      </c>
      <c r="B13" s="6" t="s">
        <v>1311</v>
      </c>
      <c r="C13" s="6" t="s">
        <v>1312</v>
      </c>
      <c r="D13" s="6" t="s">
        <v>692</v>
      </c>
      <c r="E13" s="6" t="str">
        <f>"0,6177"</f>
        <v>0,6177</v>
      </c>
      <c r="F13" s="6" t="s">
        <v>1313</v>
      </c>
      <c r="G13" s="19" t="s">
        <v>278</v>
      </c>
      <c r="H13" s="18" t="s">
        <v>278</v>
      </c>
      <c r="I13" s="19" t="s">
        <v>303</v>
      </c>
      <c r="J13" s="7"/>
      <c r="K13" s="30" t="str">
        <f>"300,0"</f>
        <v>300,0</v>
      </c>
      <c r="L13" s="7" t="str">
        <f>"185,3100"</f>
        <v>185,3100</v>
      </c>
      <c r="M13" s="6" t="s">
        <v>1315</v>
      </c>
    </row>
    <row r="14" ht="12.75">
      <c r="B14" s="4" t="s">
        <v>26</v>
      </c>
    </row>
    <row r="15" spans="1:10" ht="15">
      <c r="A15" s="45" t="s">
        <v>190</v>
      </c>
      <c r="B15" s="45"/>
      <c r="C15" s="45"/>
      <c r="D15" s="45"/>
      <c r="E15" s="45"/>
      <c r="F15" s="45"/>
      <c r="G15" s="45"/>
      <c r="H15" s="45"/>
      <c r="I15" s="45"/>
      <c r="J15" s="45"/>
    </row>
    <row r="16" spans="1:13" ht="12.75">
      <c r="A16" s="9" t="s">
        <v>15</v>
      </c>
      <c r="B16" s="8" t="s">
        <v>1403</v>
      </c>
      <c r="C16" s="8" t="s">
        <v>1404</v>
      </c>
      <c r="D16" s="8" t="s">
        <v>364</v>
      </c>
      <c r="E16" s="8" t="str">
        <f>"0,5891"</f>
        <v>0,5891</v>
      </c>
      <c r="F16" s="8" t="s">
        <v>176</v>
      </c>
      <c r="G16" s="20" t="s">
        <v>211</v>
      </c>
      <c r="H16" s="20" t="s">
        <v>1405</v>
      </c>
      <c r="I16" s="21" t="s">
        <v>1406</v>
      </c>
      <c r="J16" s="9"/>
      <c r="K16" s="27" t="str">
        <f>"355,0"</f>
        <v>355,0</v>
      </c>
      <c r="L16" s="9" t="str">
        <f>"209,1305"</f>
        <v>209,1305</v>
      </c>
      <c r="M16" s="8" t="s">
        <v>53</v>
      </c>
    </row>
    <row r="17" spans="1:13" ht="12.75">
      <c r="A17" s="11" t="s">
        <v>39</v>
      </c>
      <c r="B17" s="10" t="s">
        <v>1407</v>
      </c>
      <c r="C17" s="10" t="s">
        <v>1408</v>
      </c>
      <c r="D17" s="10" t="s">
        <v>291</v>
      </c>
      <c r="E17" s="10" t="str">
        <f>"0,5828"</f>
        <v>0,5828</v>
      </c>
      <c r="F17" s="10" t="s">
        <v>196</v>
      </c>
      <c r="G17" s="22" t="s">
        <v>303</v>
      </c>
      <c r="H17" s="22" t="s">
        <v>227</v>
      </c>
      <c r="I17" s="23" t="s">
        <v>317</v>
      </c>
      <c r="J17" s="11"/>
      <c r="K17" s="29" t="str">
        <f>"332,5"</f>
        <v>332,5</v>
      </c>
      <c r="L17" s="11" t="str">
        <f>"193,7810"</f>
        <v>193,7810</v>
      </c>
      <c r="M17" s="10" t="s">
        <v>1409</v>
      </c>
    </row>
    <row r="18" spans="1:13" ht="12.75">
      <c r="A18" s="11" t="s">
        <v>11</v>
      </c>
      <c r="B18" s="10" t="s">
        <v>1228</v>
      </c>
      <c r="C18" s="10" t="s">
        <v>1229</v>
      </c>
      <c r="D18" s="10" t="s">
        <v>1230</v>
      </c>
      <c r="E18" s="10" t="str">
        <f>"0,6000"</f>
        <v>0,6000</v>
      </c>
      <c r="F18" s="10" t="s">
        <v>1231</v>
      </c>
      <c r="G18" s="23" t="s">
        <v>317</v>
      </c>
      <c r="H18" s="23" t="s">
        <v>317</v>
      </c>
      <c r="I18" s="23" t="s">
        <v>317</v>
      </c>
      <c r="J18" s="11"/>
      <c r="K18" s="29">
        <v>0</v>
      </c>
      <c r="L18" s="11" t="str">
        <f>"0,0000"</f>
        <v>0,0000</v>
      </c>
      <c r="M18" s="10" t="s">
        <v>380</v>
      </c>
    </row>
    <row r="19" spans="1:13" ht="12.75">
      <c r="A19" s="13" t="s">
        <v>11</v>
      </c>
      <c r="B19" s="12" t="s">
        <v>1410</v>
      </c>
      <c r="C19" s="12" t="s">
        <v>1411</v>
      </c>
      <c r="D19" s="12" t="s">
        <v>198</v>
      </c>
      <c r="E19" s="12" t="str">
        <f>"0,5902"</f>
        <v>0,5902</v>
      </c>
      <c r="F19" s="12" t="s">
        <v>55</v>
      </c>
      <c r="G19" s="25" t="s">
        <v>381</v>
      </c>
      <c r="H19" s="25" t="s">
        <v>381</v>
      </c>
      <c r="I19" s="25" t="s">
        <v>226</v>
      </c>
      <c r="J19" s="13"/>
      <c r="K19" s="28">
        <v>0</v>
      </c>
      <c r="L19" s="13" t="str">
        <f>"0,0000"</f>
        <v>0,0000</v>
      </c>
      <c r="M19" s="12" t="s">
        <v>1412</v>
      </c>
    </row>
    <row r="20" ht="12.75">
      <c r="B20" s="4" t="s">
        <v>26</v>
      </c>
    </row>
    <row r="21" spans="1:10" ht="15">
      <c r="A21" s="45" t="s">
        <v>201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3" ht="12.75">
      <c r="A22" s="9" t="s">
        <v>15</v>
      </c>
      <c r="B22" s="8" t="s">
        <v>1373</v>
      </c>
      <c r="C22" s="8" t="s">
        <v>1374</v>
      </c>
      <c r="D22" s="8" t="s">
        <v>1375</v>
      </c>
      <c r="E22" s="8" t="str">
        <f>"0,5680"</f>
        <v>0,5680</v>
      </c>
      <c r="F22" s="8" t="s">
        <v>161</v>
      </c>
      <c r="G22" s="21" t="s">
        <v>1376</v>
      </c>
      <c r="H22" s="20" t="s">
        <v>1376</v>
      </c>
      <c r="I22" s="21" t="s">
        <v>1377</v>
      </c>
      <c r="J22" s="9"/>
      <c r="K22" s="27" t="str">
        <f>"375,0"</f>
        <v>375,0</v>
      </c>
      <c r="L22" s="9" t="str">
        <f>"212,9813"</f>
        <v>212,9813</v>
      </c>
      <c r="M22" s="8" t="s">
        <v>53</v>
      </c>
    </row>
    <row r="23" spans="1:13" ht="12.75">
      <c r="A23" s="11" t="s">
        <v>39</v>
      </c>
      <c r="B23" s="10" t="s">
        <v>1413</v>
      </c>
      <c r="C23" s="10" t="s">
        <v>1414</v>
      </c>
      <c r="D23" s="10" t="s">
        <v>1415</v>
      </c>
      <c r="E23" s="10" t="str">
        <f>"0,5788"</f>
        <v>0,5788</v>
      </c>
      <c r="F23" s="10" t="s">
        <v>413</v>
      </c>
      <c r="G23" s="22" t="s">
        <v>317</v>
      </c>
      <c r="H23" s="23" t="s">
        <v>1376</v>
      </c>
      <c r="I23" s="23" t="s">
        <v>1376</v>
      </c>
      <c r="J23" s="11"/>
      <c r="K23" s="29" t="str">
        <f>"350,0"</f>
        <v>350,0</v>
      </c>
      <c r="L23" s="11" t="str">
        <f>"202,5625"</f>
        <v>202,5625</v>
      </c>
      <c r="M23" s="10" t="s">
        <v>53</v>
      </c>
    </row>
    <row r="24" spans="1:13" ht="12.75">
      <c r="A24" s="11" t="s">
        <v>49</v>
      </c>
      <c r="B24" s="10" t="s">
        <v>1416</v>
      </c>
      <c r="C24" s="10" t="s">
        <v>1417</v>
      </c>
      <c r="D24" s="10" t="s">
        <v>1418</v>
      </c>
      <c r="E24" s="10" t="str">
        <f>"0,5695"</f>
        <v>0,5695</v>
      </c>
      <c r="F24" s="10" t="s">
        <v>285</v>
      </c>
      <c r="G24" s="22" t="s">
        <v>211</v>
      </c>
      <c r="H24" s="23" t="s">
        <v>381</v>
      </c>
      <c r="I24" s="23" t="s">
        <v>381</v>
      </c>
      <c r="J24" s="11"/>
      <c r="K24" s="29" t="str">
        <f>"340,0"</f>
        <v>340,0</v>
      </c>
      <c r="L24" s="11" t="str">
        <f>"193,6470"</f>
        <v>193,6470</v>
      </c>
      <c r="M24" s="10" t="s">
        <v>1419</v>
      </c>
    </row>
    <row r="25" spans="1:13" ht="12.75">
      <c r="A25" s="11" t="s">
        <v>65</v>
      </c>
      <c r="B25" s="10" t="s">
        <v>1420</v>
      </c>
      <c r="C25" s="10" t="s">
        <v>1421</v>
      </c>
      <c r="D25" s="10" t="s">
        <v>302</v>
      </c>
      <c r="E25" s="10" t="str">
        <f>"0,5632"</f>
        <v>0,5632</v>
      </c>
      <c r="F25" s="10" t="s">
        <v>161</v>
      </c>
      <c r="G25" s="23" t="s">
        <v>303</v>
      </c>
      <c r="H25" s="22" t="s">
        <v>303</v>
      </c>
      <c r="I25" s="23" t="s">
        <v>305</v>
      </c>
      <c r="J25" s="11"/>
      <c r="K25" s="29" t="str">
        <f>"320,0"</f>
        <v>320,0</v>
      </c>
      <c r="L25" s="11" t="str">
        <f>"180,2240"</f>
        <v>180,2240</v>
      </c>
      <c r="M25" s="10" t="s">
        <v>53</v>
      </c>
    </row>
    <row r="26" spans="1:13" ht="12.75">
      <c r="A26" s="11" t="s">
        <v>11</v>
      </c>
      <c r="B26" s="10" t="s">
        <v>1422</v>
      </c>
      <c r="C26" s="10" t="s">
        <v>1423</v>
      </c>
      <c r="D26" s="10" t="s">
        <v>1375</v>
      </c>
      <c r="E26" s="10" t="str">
        <f>"0,5680"</f>
        <v>0,5680</v>
      </c>
      <c r="F26" s="10" t="s">
        <v>252</v>
      </c>
      <c r="G26" s="23" t="s">
        <v>278</v>
      </c>
      <c r="H26" s="23" t="s">
        <v>303</v>
      </c>
      <c r="I26" s="23" t="s">
        <v>210</v>
      </c>
      <c r="J26" s="11"/>
      <c r="K26" s="29">
        <v>0</v>
      </c>
      <c r="L26" s="11" t="str">
        <f>"0,0000"</f>
        <v>0,0000</v>
      </c>
      <c r="M26" s="10" t="s">
        <v>1396</v>
      </c>
    </row>
    <row r="27" spans="1:13" ht="12.75">
      <c r="A27" s="11" t="s">
        <v>15</v>
      </c>
      <c r="B27" s="10" t="s">
        <v>1413</v>
      </c>
      <c r="C27" s="10" t="s">
        <v>1424</v>
      </c>
      <c r="D27" s="10" t="s">
        <v>1415</v>
      </c>
      <c r="E27" s="10" t="str">
        <f>"0,5788"</f>
        <v>0,5788</v>
      </c>
      <c r="F27" s="10" t="s">
        <v>413</v>
      </c>
      <c r="G27" s="22" t="s">
        <v>317</v>
      </c>
      <c r="H27" s="23" t="s">
        <v>1376</v>
      </c>
      <c r="I27" s="23" t="s">
        <v>1376</v>
      </c>
      <c r="J27" s="11"/>
      <c r="K27" s="29" t="str">
        <f>"350,0"</f>
        <v>350,0</v>
      </c>
      <c r="L27" s="11" t="str">
        <f>"204,5881"</f>
        <v>204,5881</v>
      </c>
      <c r="M27" s="10" t="s">
        <v>53</v>
      </c>
    </row>
    <row r="28" spans="1:13" ht="12.75">
      <c r="A28" s="13" t="s">
        <v>39</v>
      </c>
      <c r="B28" s="12" t="s">
        <v>1420</v>
      </c>
      <c r="C28" s="12" t="s">
        <v>1425</v>
      </c>
      <c r="D28" s="12" t="s">
        <v>302</v>
      </c>
      <c r="E28" s="12" t="str">
        <f>"0,5632"</f>
        <v>0,5632</v>
      </c>
      <c r="F28" s="12" t="s">
        <v>161</v>
      </c>
      <c r="G28" s="25" t="s">
        <v>303</v>
      </c>
      <c r="H28" s="24" t="s">
        <v>303</v>
      </c>
      <c r="I28" s="25" t="s">
        <v>305</v>
      </c>
      <c r="J28" s="13"/>
      <c r="K28" s="28" t="str">
        <f>"320,0"</f>
        <v>320,0</v>
      </c>
      <c r="L28" s="13" t="str">
        <f>"190,1363"</f>
        <v>190,1363</v>
      </c>
      <c r="M28" s="12" t="s">
        <v>53</v>
      </c>
    </row>
    <row r="29" ht="12.75">
      <c r="B29" s="4" t="s">
        <v>26</v>
      </c>
    </row>
    <row r="30" spans="1:10" ht="15">
      <c r="A30" s="45" t="s">
        <v>208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3" ht="12.75">
      <c r="A31" s="9" t="s">
        <v>15</v>
      </c>
      <c r="B31" s="8" t="s">
        <v>1426</v>
      </c>
      <c r="C31" s="8" t="s">
        <v>1427</v>
      </c>
      <c r="D31" s="8" t="s">
        <v>1428</v>
      </c>
      <c r="E31" s="8" t="str">
        <f>"0,5549"</f>
        <v>0,5549</v>
      </c>
      <c r="F31" s="8" t="s">
        <v>13</v>
      </c>
      <c r="G31" s="20" t="s">
        <v>278</v>
      </c>
      <c r="H31" s="21" t="s">
        <v>304</v>
      </c>
      <c r="I31" s="21" t="s">
        <v>304</v>
      </c>
      <c r="J31" s="9"/>
      <c r="K31" s="27" t="str">
        <f>"300,0"</f>
        <v>300,0</v>
      </c>
      <c r="L31" s="9" t="str">
        <f>"166,4700"</f>
        <v>166,4700</v>
      </c>
      <c r="M31" s="8" t="s">
        <v>53</v>
      </c>
    </row>
    <row r="32" spans="1:13" ht="12.75">
      <c r="A32" s="11" t="s">
        <v>15</v>
      </c>
      <c r="B32" s="10" t="s">
        <v>1348</v>
      </c>
      <c r="C32" s="10" t="s">
        <v>1349</v>
      </c>
      <c r="D32" s="10" t="s">
        <v>1350</v>
      </c>
      <c r="E32" s="10" t="str">
        <f>"0,5490"</f>
        <v>0,5490</v>
      </c>
      <c r="F32" s="10" t="s">
        <v>1296</v>
      </c>
      <c r="G32" s="22" t="s">
        <v>1376</v>
      </c>
      <c r="H32" s="23" t="s">
        <v>1377</v>
      </c>
      <c r="I32" s="22" t="s">
        <v>1377</v>
      </c>
      <c r="J32" s="11"/>
      <c r="K32" s="29" t="str">
        <f>"385,0"</f>
        <v>385,0</v>
      </c>
      <c r="L32" s="11" t="str">
        <f>"211,3842"</f>
        <v>211,3842</v>
      </c>
      <c r="M32" s="10" t="s">
        <v>53</v>
      </c>
    </row>
    <row r="33" spans="1:13" ht="12.75">
      <c r="A33" s="11" t="s">
        <v>39</v>
      </c>
      <c r="B33" s="10" t="s">
        <v>1429</v>
      </c>
      <c r="C33" s="10" t="s">
        <v>1430</v>
      </c>
      <c r="D33" s="10" t="s">
        <v>1431</v>
      </c>
      <c r="E33" s="10" t="str">
        <f>"0,5528"</f>
        <v>0,5528</v>
      </c>
      <c r="F33" s="10" t="s">
        <v>253</v>
      </c>
      <c r="G33" s="22" t="s">
        <v>211</v>
      </c>
      <c r="H33" s="22" t="s">
        <v>1405</v>
      </c>
      <c r="I33" s="23" t="s">
        <v>1406</v>
      </c>
      <c r="J33" s="11"/>
      <c r="K33" s="29" t="str">
        <f>"355,0"</f>
        <v>355,0</v>
      </c>
      <c r="L33" s="11" t="str">
        <f>"196,2440"</f>
        <v>196,2440</v>
      </c>
      <c r="M33" s="10" t="s">
        <v>1432</v>
      </c>
    </row>
    <row r="34" spans="1:13" ht="12.75">
      <c r="A34" s="11" t="s">
        <v>15</v>
      </c>
      <c r="B34" s="10" t="s">
        <v>1348</v>
      </c>
      <c r="C34" s="10" t="s">
        <v>1354</v>
      </c>
      <c r="D34" s="10" t="s">
        <v>1350</v>
      </c>
      <c r="E34" s="10" t="str">
        <f>"0,5490"</f>
        <v>0,5490</v>
      </c>
      <c r="F34" s="10" t="s">
        <v>1296</v>
      </c>
      <c r="G34" s="22" t="s">
        <v>1376</v>
      </c>
      <c r="H34" s="23" t="s">
        <v>1377</v>
      </c>
      <c r="I34" s="22" t="s">
        <v>1377</v>
      </c>
      <c r="J34" s="11"/>
      <c r="K34" s="29" t="str">
        <f>"385,0"</f>
        <v>385,0</v>
      </c>
      <c r="L34" s="11" t="str">
        <f>"213,4981"</f>
        <v>213,4981</v>
      </c>
      <c r="M34" s="10" t="s">
        <v>53</v>
      </c>
    </row>
    <row r="35" spans="1:13" ht="12.75">
      <c r="A35" s="13" t="s">
        <v>15</v>
      </c>
      <c r="B35" s="12" t="s">
        <v>376</v>
      </c>
      <c r="C35" s="12" t="s">
        <v>377</v>
      </c>
      <c r="D35" s="12" t="s">
        <v>378</v>
      </c>
      <c r="E35" s="12" t="str">
        <f>"0,5573"</f>
        <v>0,5573</v>
      </c>
      <c r="F35" s="12" t="s">
        <v>379</v>
      </c>
      <c r="G35" s="24" t="s">
        <v>117</v>
      </c>
      <c r="H35" s="25" t="s">
        <v>123</v>
      </c>
      <c r="I35" s="24" t="s">
        <v>123</v>
      </c>
      <c r="J35" s="13"/>
      <c r="K35" s="28" t="str">
        <f>"185,0"</f>
        <v>185,0</v>
      </c>
      <c r="L35" s="13" t="str">
        <f>"120,1229"</f>
        <v>120,1229</v>
      </c>
      <c r="M35" s="12" t="s">
        <v>1433</v>
      </c>
    </row>
    <row r="36" ht="12.75">
      <c r="B36" s="4" t="s">
        <v>26</v>
      </c>
    </row>
    <row r="37" ht="12.75">
      <c r="B37" s="4" t="s">
        <v>26</v>
      </c>
    </row>
    <row r="38" ht="12.75">
      <c r="B38" s="4" t="s">
        <v>26</v>
      </c>
    </row>
    <row r="39" spans="2:6" ht="18">
      <c r="B39" s="14" t="s">
        <v>218</v>
      </c>
      <c r="C39" s="14"/>
      <c r="F39" s="3"/>
    </row>
    <row r="40" spans="2:6" ht="15">
      <c r="B40" s="44" t="s">
        <v>229</v>
      </c>
      <c r="C40" s="44"/>
      <c r="F40" s="3"/>
    </row>
    <row r="41" spans="2:6" ht="14.25">
      <c r="B41" s="15"/>
      <c r="C41" s="16" t="s">
        <v>220</v>
      </c>
      <c r="F41" s="3"/>
    </row>
    <row r="42" spans="2:6" ht="15">
      <c r="B42" s="17" t="s">
        <v>221</v>
      </c>
      <c r="C42" s="17" t="s">
        <v>222</v>
      </c>
      <c r="D42" s="17" t="s">
        <v>223</v>
      </c>
      <c r="E42" s="17" t="s">
        <v>879</v>
      </c>
      <c r="F42" s="17" t="s">
        <v>1281</v>
      </c>
    </row>
    <row r="43" spans="2:6" ht="12.75">
      <c r="B43" s="4" t="s">
        <v>1373</v>
      </c>
      <c r="C43" s="4" t="s">
        <v>220</v>
      </c>
      <c r="D43" s="5" t="s">
        <v>323</v>
      </c>
      <c r="E43" s="5" t="s">
        <v>1376</v>
      </c>
      <c r="F43" s="5" t="s">
        <v>1434</v>
      </c>
    </row>
    <row r="44" spans="2:6" ht="12.75">
      <c r="B44" s="4" t="s">
        <v>1348</v>
      </c>
      <c r="C44" s="4" t="s">
        <v>220</v>
      </c>
      <c r="D44" s="5" t="s">
        <v>234</v>
      </c>
      <c r="E44" s="5" t="s">
        <v>1377</v>
      </c>
      <c r="F44" s="5" t="s">
        <v>1435</v>
      </c>
    </row>
    <row r="45" spans="2:6" ht="12.75">
      <c r="B45" s="4" t="s">
        <v>1403</v>
      </c>
      <c r="C45" s="4" t="s">
        <v>220</v>
      </c>
      <c r="D45" s="5" t="s">
        <v>241</v>
      </c>
      <c r="E45" s="5" t="s">
        <v>1405</v>
      </c>
      <c r="F45" s="5" t="s">
        <v>1436</v>
      </c>
    </row>
  </sheetData>
  <sheetProtection/>
  <mergeCells count="17">
    <mergeCell ref="M3:M4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A30:J30"/>
    <mergeCell ref="A5:J5"/>
    <mergeCell ref="A8:J8"/>
    <mergeCell ref="A12:J12"/>
    <mergeCell ref="A15:J15"/>
    <mergeCell ref="A21:J2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K27" sqref="K27"/>
    </sheetView>
  </sheetViews>
  <sheetFormatPr defaultColWidth="9.125" defaultRowHeight="12.75"/>
  <cols>
    <col min="1" max="1" width="7.375" style="4" bestFit="1" customWidth="1"/>
    <col min="2" max="2" width="18.375" style="4" bestFit="1" customWidth="1"/>
    <col min="3" max="3" width="27.375" style="4" bestFit="1" customWidth="1"/>
    <col min="4" max="4" width="13.875" style="4" bestFit="1" customWidth="1"/>
    <col min="5" max="5" width="10.375" style="4" bestFit="1" customWidth="1"/>
    <col min="6" max="6" width="20.625" style="4" customWidth="1"/>
    <col min="7" max="9" width="5.375" style="5" customWidth="1"/>
    <col min="10" max="10" width="4.875" style="5" customWidth="1"/>
    <col min="11" max="11" width="10.375" style="5" bestFit="1" customWidth="1"/>
    <col min="12" max="12" width="8.375" style="5" bestFit="1" customWidth="1"/>
    <col min="13" max="13" width="21.125" style="4" customWidth="1"/>
    <col min="14" max="16384" width="9.125" style="3" customWidth="1"/>
  </cols>
  <sheetData>
    <row r="1" spans="1:13" s="2" customFormat="1" ht="28.5" customHeight="1">
      <c r="A1" s="56" t="s">
        <v>1440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1.5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0</v>
      </c>
      <c r="B3" s="54" t="s">
        <v>1</v>
      </c>
      <c r="C3" s="66" t="s">
        <v>2</v>
      </c>
      <c r="D3" s="66" t="s">
        <v>1393</v>
      </c>
      <c r="E3" s="48" t="s">
        <v>1236</v>
      </c>
      <c r="F3" s="48" t="s">
        <v>5</v>
      </c>
      <c r="G3" s="48" t="s">
        <v>6</v>
      </c>
      <c r="H3" s="48"/>
      <c r="I3" s="48"/>
      <c r="J3" s="48"/>
      <c r="K3" s="48" t="s">
        <v>417</v>
      </c>
      <c r="L3" s="48" t="s">
        <v>7</v>
      </c>
      <c r="M3" s="50" t="s">
        <v>8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3">
        <v>1</v>
      </c>
      <c r="H4" s="43">
        <v>2</v>
      </c>
      <c r="I4" s="43">
        <v>3</v>
      </c>
      <c r="J4" s="43" t="s">
        <v>9</v>
      </c>
      <c r="K4" s="49"/>
      <c r="L4" s="49"/>
      <c r="M4" s="51"/>
    </row>
    <row r="5" spans="1:10" ht="15">
      <c r="A5" s="52" t="s">
        <v>115</v>
      </c>
      <c r="B5" s="52"/>
      <c r="C5" s="53"/>
      <c r="D5" s="53"/>
      <c r="E5" s="53"/>
      <c r="F5" s="53"/>
      <c r="G5" s="53"/>
      <c r="H5" s="53"/>
      <c r="I5" s="53"/>
      <c r="J5" s="53"/>
    </row>
    <row r="6" spans="1:13" ht="12.75">
      <c r="A6" s="7" t="s">
        <v>15</v>
      </c>
      <c r="B6" s="6" t="s">
        <v>1441</v>
      </c>
      <c r="C6" s="6" t="s">
        <v>1442</v>
      </c>
      <c r="D6" s="6" t="s">
        <v>961</v>
      </c>
      <c r="E6" s="6" t="str">
        <f>"0,8095"</f>
        <v>0,8095</v>
      </c>
      <c r="F6" s="42" t="s">
        <v>1443</v>
      </c>
      <c r="G6" s="18" t="s">
        <v>44</v>
      </c>
      <c r="H6" s="18" t="s">
        <v>45</v>
      </c>
      <c r="I6" s="19" t="s">
        <v>34</v>
      </c>
      <c r="J6" s="7"/>
      <c r="K6" s="7" t="str">
        <f>"50,0"</f>
        <v>50,0</v>
      </c>
      <c r="L6" s="7" t="str">
        <f>"71,0785"</f>
        <v>71,0785</v>
      </c>
      <c r="M6" s="6" t="s">
        <v>1444</v>
      </c>
    </row>
    <row r="7" ht="12.75">
      <c r="B7" s="4" t="s">
        <v>26</v>
      </c>
    </row>
    <row r="8" spans="1:10" ht="15">
      <c r="A8" s="45" t="s">
        <v>93</v>
      </c>
      <c r="B8" s="45"/>
      <c r="C8" s="45"/>
      <c r="D8" s="45"/>
      <c r="E8" s="45"/>
      <c r="F8" s="45"/>
      <c r="G8" s="45"/>
      <c r="H8" s="45"/>
      <c r="I8" s="45"/>
      <c r="J8" s="45"/>
    </row>
    <row r="9" spans="1:13" ht="12.75">
      <c r="A9" s="7" t="s">
        <v>15</v>
      </c>
      <c r="B9" s="6" t="s">
        <v>1445</v>
      </c>
      <c r="C9" s="6" t="s">
        <v>1446</v>
      </c>
      <c r="D9" s="6" t="s">
        <v>1447</v>
      </c>
      <c r="E9" s="6" t="str">
        <f>"0,7908"</f>
        <v>0,7908</v>
      </c>
      <c r="F9" s="6" t="s">
        <v>1443</v>
      </c>
      <c r="G9" s="18" t="s">
        <v>23</v>
      </c>
      <c r="H9" s="18" t="s">
        <v>60</v>
      </c>
      <c r="I9" s="19" t="s">
        <v>50</v>
      </c>
      <c r="J9" s="7"/>
      <c r="K9" s="7" t="str">
        <f>"100,0"</f>
        <v>100,0</v>
      </c>
      <c r="L9" s="7" t="str">
        <f>"103,9902"</f>
        <v>103,9902</v>
      </c>
      <c r="M9" s="6" t="s">
        <v>1439</v>
      </c>
    </row>
    <row r="10" ht="12.75">
      <c r="B10" s="4" t="s">
        <v>26</v>
      </c>
    </row>
    <row r="11" spans="1:10" ht="15">
      <c r="A11" s="45" t="s">
        <v>115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3" ht="12.75">
      <c r="A12" s="9" t="s">
        <v>15</v>
      </c>
      <c r="B12" s="8" t="s">
        <v>1448</v>
      </c>
      <c r="C12" s="8" t="s">
        <v>1449</v>
      </c>
      <c r="D12" s="8" t="s">
        <v>976</v>
      </c>
      <c r="E12" s="8" t="str">
        <f>"0,6529"</f>
        <v>0,6529</v>
      </c>
      <c r="F12" s="8" t="s">
        <v>1450</v>
      </c>
      <c r="G12" s="21" t="s">
        <v>51</v>
      </c>
      <c r="H12" s="20" t="s">
        <v>52</v>
      </c>
      <c r="I12" s="20" t="s">
        <v>32</v>
      </c>
      <c r="J12" s="9"/>
      <c r="K12" s="9" t="str">
        <f>"115,0"</f>
        <v>115,0</v>
      </c>
      <c r="L12" s="9" t="str">
        <f>"102,5641"</f>
        <v>102,5641</v>
      </c>
      <c r="M12" s="8" t="s">
        <v>1444</v>
      </c>
    </row>
    <row r="13" spans="1:13" ht="12.75">
      <c r="A13" s="13" t="s">
        <v>15</v>
      </c>
      <c r="B13" s="12" t="s">
        <v>1451</v>
      </c>
      <c r="C13" s="12" t="s">
        <v>1452</v>
      </c>
      <c r="D13" s="12" t="s">
        <v>1453</v>
      </c>
      <c r="E13" s="12" t="str">
        <f>"0,6718"</f>
        <v>0,6718</v>
      </c>
      <c r="F13" s="12" t="s">
        <v>1443</v>
      </c>
      <c r="G13" s="24" t="s">
        <v>1454</v>
      </c>
      <c r="H13" s="24" t="s">
        <v>389</v>
      </c>
      <c r="I13" s="24" t="s">
        <v>390</v>
      </c>
      <c r="J13" s="13"/>
      <c r="K13" s="13" t="str">
        <f>"30,0"</f>
        <v>30,0</v>
      </c>
      <c r="L13" s="13" t="str">
        <f>"41,3157"</f>
        <v>41,3157</v>
      </c>
      <c r="M13" s="12" t="s">
        <v>1439</v>
      </c>
    </row>
    <row r="14" ht="12.75">
      <c r="B14" s="4" t="s">
        <v>26</v>
      </c>
    </row>
    <row r="15" spans="1:10" ht="15">
      <c r="A15" s="45" t="s">
        <v>190</v>
      </c>
      <c r="B15" s="45"/>
      <c r="C15" s="45"/>
      <c r="D15" s="45"/>
      <c r="E15" s="45"/>
      <c r="F15" s="45"/>
      <c r="G15" s="45"/>
      <c r="H15" s="45"/>
      <c r="I15" s="45"/>
      <c r="J15" s="45"/>
    </row>
    <row r="16" spans="1:13" ht="12.75">
      <c r="A16" s="9" t="s">
        <v>15</v>
      </c>
      <c r="B16" s="8" t="s">
        <v>1455</v>
      </c>
      <c r="C16" s="8" t="s">
        <v>1456</v>
      </c>
      <c r="D16" s="8" t="s">
        <v>194</v>
      </c>
      <c r="E16" s="8" t="str">
        <f>"0,5859"</f>
        <v>0,5859</v>
      </c>
      <c r="F16" s="8" t="s">
        <v>1443</v>
      </c>
      <c r="G16" s="20" t="s">
        <v>19</v>
      </c>
      <c r="H16" s="21" t="s">
        <v>23</v>
      </c>
      <c r="I16" s="20" t="s">
        <v>23</v>
      </c>
      <c r="J16" s="9"/>
      <c r="K16" s="9" t="str">
        <f>"95,0"</f>
        <v>95,0</v>
      </c>
      <c r="L16" s="9" t="str">
        <f>"55,6558"</f>
        <v>55,6558</v>
      </c>
      <c r="M16" s="8" t="s">
        <v>1444</v>
      </c>
    </row>
    <row r="17" spans="1:13" ht="12.75">
      <c r="A17" s="11" t="s">
        <v>15</v>
      </c>
      <c r="B17" s="10" t="s">
        <v>1457</v>
      </c>
      <c r="C17" s="10" t="s">
        <v>1458</v>
      </c>
      <c r="D17" s="10" t="s">
        <v>780</v>
      </c>
      <c r="E17" s="10" t="str">
        <f>"0,5818"</f>
        <v>0,5818</v>
      </c>
      <c r="F17" s="10" t="s">
        <v>1438</v>
      </c>
      <c r="G17" s="22" t="s">
        <v>60</v>
      </c>
      <c r="H17" s="22" t="s">
        <v>94</v>
      </c>
      <c r="I17" s="22" t="s">
        <v>51</v>
      </c>
      <c r="J17" s="11"/>
      <c r="K17" s="11" t="str">
        <f>"110,0"</f>
        <v>110,0</v>
      </c>
      <c r="L17" s="11" t="str">
        <f>"73,4057"</f>
        <v>73,4057</v>
      </c>
      <c r="M17" s="10" t="s">
        <v>1459</v>
      </c>
    </row>
    <row r="18" spans="1:13" ht="12.75">
      <c r="A18" s="11" t="s">
        <v>15</v>
      </c>
      <c r="B18" s="10" t="s">
        <v>1460</v>
      </c>
      <c r="C18" s="10" t="s">
        <v>1461</v>
      </c>
      <c r="D18" s="10" t="s">
        <v>367</v>
      </c>
      <c r="E18" s="10" t="str">
        <f>"0,5914"</f>
        <v>0,5914</v>
      </c>
      <c r="F18" s="41" t="s">
        <v>1462</v>
      </c>
      <c r="G18" s="22" t="s">
        <v>52</v>
      </c>
      <c r="H18" s="23" t="s">
        <v>33</v>
      </c>
      <c r="I18" s="22" t="s">
        <v>33</v>
      </c>
      <c r="J18" s="11"/>
      <c r="K18" s="11" t="str">
        <f>"117,5"</f>
        <v>117,5</v>
      </c>
      <c r="L18" s="11" t="str">
        <f>"102,8445"</f>
        <v>102,8445</v>
      </c>
      <c r="M18" s="10" t="s">
        <v>1439</v>
      </c>
    </row>
    <row r="19" spans="1:13" ht="12.75">
      <c r="A19" s="13" t="s">
        <v>15</v>
      </c>
      <c r="B19" s="12" t="s">
        <v>1463</v>
      </c>
      <c r="C19" s="12" t="s">
        <v>1464</v>
      </c>
      <c r="D19" s="12" t="s">
        <v>1465</v>
      </c>
      <c r="E19" s="12" t="str">
        <f>"0,5922"</f>
        <v>0,5922</v>
      </c>
      <c r="F19" s="12" t="s">
        <v>1443</v>
      </c>
      <c r="G19" s="24" t="s">
        <v>34</v>
      </c>
      <c r="H19" s="24" t="s">
        <v>83</v>
      </c>
      <c r="I19" s="24" t="s">
        <v>74</v>
      </c>
      <c r="J19" s="13"/>
      <c r="K19" s="13" t="str">
        <f>"70,0"</f>
        <v>70,0</v>
      </c>
      <c r="L19" s="13" t="str">
        <f>"76,0745"</f>
        <v>76,0745</v>
      </c>
      <c r="M19" s="12" t="s">
        <v>1444</v>
      </c>
    </row>
    <row r="20" ht="12.75">
      <c r="B20" s="4" t="s">
        <v>26</v>
      </c>
    </row>
    <row r="21" spans="1:10" ht="15">
      <c r="A21" s="45" t="s">
        <v>201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3" ht="12.75">
      <c r="A22" s="7" t="s">
        <v>15</v>
      </c>
      <c r="B22" s="6" t="s">
        <v>1466</v>
      </c>
      <c r="C22" s="6" t="s">
        <v>1467</v>
      </c>
      <c r="D22" s="6" t="s">
        <v>1468</v>
      </c>
      <c r="E22" s="6" t="str">
        <f>"0,5759"</f>
        <v>0,5759</v>
      </c>
      <c r="F22" s="6" t="s">
        <v>1443</v>
      </c>
      <c r="G22" s="18" t="s">
        <v>63</v>
      </c>
      <c r="H22" s="18" t="s">
        <v>80</v>
      </c>
      <c r="I22" s="18" t="s">
        <v>36</v>
      </c>
      <c r="J22" s="7"/>
      <c r="K22" s="7" t="str">
        <f>"145,0"</f>
        <v>145,0</v>
      </c>
      <c r="L22" s="7" t="str">
        <f>"95,7725"</f>
        <v>95,7725</v>
      </c>
      <c r="M22" s="6" t="s">
        <v>53</v>
      </c>
    </row>
    <row r="23" ht="12.75">
      <c r="B23" s="4" t="s">
        <v>26</v>
      </c>
    </row>
    <row r="24" ht="12.75">
      <c r="B24" s="4" t="s">
        <v>26</v>
      </c>
    </row>
    <row r="25" ht="12.75">
      <c r="B25" s="4" t="s">
        <v>26</v>
      </c>
    </row>
    <row r="26" spans="2:6" ht="18">
      <c r="B26" s="14" t="s">
        <v>218</v>
      </c>
      <c r="C26" s="14"/>
      <c r="F26" s="3"/>
    </row>
    <row r="27" spans="2:6" ht="15">
      <c r="B27" s="44" t="s">
        <v>229</v>
      </c>
      <c r="C27" s="44"/>
      <c r="F27" s="3"/>
    </row>
    <row r="28" spans="2:6" ht="14.25">
      <c r="B28" s="15"/>
      <c r="C28" s="16" t="s">
        <v>238</v>
      </c>
      <c r="F28" s="3"/>
    </row>
    <row r="29" spans="2:6" ht="15">
      <c r="B29" s="17" t="s">
        <v>221</v>
      </c>
      <c r="C29" s="17" t="s">
        <v>222</v>
      </c>
      <c r="D29" s="17" t="s">
        <v>223</v>
      </c>
      <c r="E29" s="17" t="s">
        <v>879</v>
      </c>
      <c r="F29" s="17" t="s">
        <v>1281</v>
      </c>
    </row>
    <row r="30" spans="2:6" ht="12.75">
      <c r="B30" s="4" t="s">
        <v>1445</v>
      </c>
      <c r="C30" s="4" t="s">
        <v>239</v>
      </c>
      <c r="D30" s="5" t="s">
        <v>228</v>
      </c>
      <c r="E30" s="5" t="s">
        <v>60</v>
      </c>
      <c r="F30" s="5" t="s">
        <v>1469</v>
      </c>
    </row>
    <row r="31" spans="2:6" ht="12.75">
      <c r="B31" s="4" t="s">
        <v>1460</v>
      </c>
      <c r="C31" s="4" t="s">
        <v>415</v>
      </c>
      <c r="D31" s="5" t="s">
        <v>241</v>
      </c>
      <c r="E31" s="5" t="s">
        <v>33</v>
      </c>
      <c r="F31" s="5" t="s">
        <v>1470</v>
      </c>
    </row>
    <row r="32" spans="2:6" ht="12.75">
      <c r="B32" s="4" t="s">
        <v>1448</v>
      </c>
      <c r="C32" s="4" t="s">
        <v>415</v>
      </c>
      <c r="D32" s="5" t="s">
        <v>232</v>
      </c>
      <c r="E32" s="5" t="s">
        <v>32</v>
      </c>
      <c r="F32" s="5" t="s">
        <v>1471</v>
      </c>
    </row>
    <row r="33" ht="12.75">
      <c r="B33" s="4" t="s">
        <v>26</v>
      </c>
    </row>
  </sheetData>
  <sheetProtection/>
  <mergeCells count="16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5:J15"/>
    <mergeCell ref="A21:J21"/>
    <mergeCell ref="B3:B4"/>
    <mergeCell ref="K3:K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3">
      <selection activeCell="E12" sqref="E12"/>
    </sheetView>
  </sheetViews>
  <sheetFormatPr defaultColWidth="9.125" defaultRowHeight="12.75"/>
  <cols>
    <col min="1" max="1" width="7.375" style="4" bestFit="1" customWidth="1"/>
    <col min="2" max="2" width="19.125" style="4" bestFit="1" customWidth="1"/>
    <col min="3" max="3" width="26.25390625" style="4" bestFit="1" customWidth="1"/>
    <col min="4" max="4" width="21.375" style="4" bestFit="1" customWidth="1"/>
    <col min="5" max="5" width="10.375" style="4" bestFit="1" customWidth="1"/>
    <col min="6" max="6" width="22.125" style="4" customWidth="1"/>
    <col min="7" max="10" width="5.375" style="5" customWidth="1"/>
    <col min="11" max="11" width="10.375" style="5" bestFit="1" customWidth="1"/>
    <col min="12" max="12" width="8.375" style="5" bestFit="1" customWidth="1"/>
    <col min="13" max="13" width="19.75390625" style="4" customWidth="1"/>
    <col min="14" max="16384" width="9.125" style="3" customWidth="1"/>
  </cols>
  <sheetData>
    <row r="1" spans="1:13" s="2" customFormat="1" ht="28.5" customHeight="1">
      <c r="A1" s="56" t="s">
        <v>1473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1.5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0</v>
      </c>
      <c r="B3" s="54" t="s">
        <v>1</v>
      </c>
      <c r="C3" s="66" t="s">
        <v>2</v>
      </c>
      <c r="D3" s="66" t="s">
        <v>3</v>
      </c>
      <c r="E3" s="48" t="s">
        <v>4</v>
      </c>
      <c r="F3" s="48" t="s">
        <v>5</v>
      </c>
      <c r="G3" s="48" t="s">
        <v>6</v>
      </c>
      <c r="H3" s="48"/>
      <c r="I3" s="48"/>
      <c r="J3" s="48"/>
      <c r="K3" s="48" t="s">
        <v>417</v>
      </c>
      <c r="L3" s="48" t="s">
        <v>7</v>
      </c>
      <c r="M3" s="50" t="s">
        <v>8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3">
        <v>1</v>
      </c>
      <c r="H4" s="43">
        <v>2</v>
      </c>
      <c r="I4" s="43">
        <v>3</v>
      </c>
      <c r="J4" s="43" t="s">
        <v>65</v>
      </c>
      <c r="K4" s="49"/>
      <c r="L4" s="49"/>
      <c r="M4" s="51"/>
    </row>
    <row r="5" spans="1:10" ht="15">
      <c r="A5" s="52" t="s">
        <v>76</v>
      </c>
      <c r="B5" s="52"/>
      <c r="C5" s="53"/>
      <c r="D5" s="53"/>
      <c r="E5" s="53"/>
      <c r="F5" s="53"/>
      <c r="G5" s="53"/>
      <c r="H5" s="53"/>
      <c r="I5" s="53"/>
      <c r="J5" s="53"/>
    </row>
    <row r="6" spans="1:13" ht="12.75">
      <c r="A6" s="7" t="s">
        <v>15</v>
      </c>
      <c r="B6" s="6" t="s">
        <v>1474</v>
      </c>
      <c r="C6" s="6" t="s">
        <v>1475</v>
      </c>
      <c r="D6" s="6" t="s">
        <v>1476</v>
      </c>
      <c r="E6" s="6" t="str">
        <f>"0,9510"</f>
        <v>0,9510</v>
      </c>
      <c r="F6" s="42" t="s">
        <v>1477</v>
      </c>
      <c r="G6" s="18" t="s">
        <v>116</v>
      </c>
      <c r="H6" s="18" t="s">
        <v>117</v>
      </c>
      <c r="I6" s="18" t="s">
        <v>120</v>
      </c>
      <c r="J6" s="19" t="s">
        <v>167</v>
      </c>
      <c r="K6" s="7" t="str">
        <f>"175,0"</f>
        <v>175,0</v>
      </c>
      <c r="L6" s="7" t="str">
        <f>"166,4250"</f>
        <v>166,4250</v>
      </c>
      <c r="M6" s="6" t="s">
        <v>1478</v>
      </c>
    </row>
    <row r="7" ht="12.75">
      <c r="B7" s="4" t="s">
        <v>26</v>
      </c>
    </row>
    <row r="8" spans="1:10" ht="15">
      <c r="A8" s="45" t="s">
        <v>107</v>
      </c>
      <c r="B8" s="45"/>
      <c r="C8" s="45"/>
      <c r="D8" s="45"/>
      <c r="E8" s="45"/>
      <c r="F8" s="45"/>
      <c r="G8" s="45"/>
      <c r="H8" s="45"/>
      <c r="I8" s="45"/>
      <c r="J8" s="45"/>
    </row>
    <row r="9" spans="1:13" ht="12.75">
      <c r="A9" s="7" t="s">
        <v>15</v>
      </c>
      <c r="B9" s="6" t="s">
        <v>946</v>
      </c>
      <c r="C9" s="6" t="s">
        <v>121</v>
      </c>
      <c r="D9" s="6" t="s">
        <v>113</v>
      </c>
      <c r="E9" s="6" t="str">
        <f>"0,7193"</f>
        <v>0,7193</v>
      </c>
      <c r="F9" s="6" t="s">
        <v>947</v>
      </c>
      <c r="G9" s="18" t="s">
        <v>169</v>
      </c>
      <c r="H9" s="18" t="s">
        <v>150</v>
      </c>
      <c r="I9" s="19" t="s">
        <v>132</v>
      </c>
      <c r="J9" s="7"/>
      <c r="K9" s="7" t="str">
        <f>"207,5"</f>
        <v>207,5</v>
      </c>
      <c r="L9" s="7" t="str">
        <f>"149,2547"</f>
        <v>149,2547</v>
      </c>
      <c r="M9" s="6" t="s">
        <v>948</v>
      </c>
    </row>
    <row r="10" ht="12.75">
      <c r="B10" s="4" t="s">
        <v>26</v>
      </c>
    </row>
    <row r="11" spans="1:10" ht="15">
      <c r="A11" s="45" t="s">
        <v>115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3" ht="12.75">
      <c r="A12" s="9" t="s">
        <v>15</v>
      </c>
      <c r="B12" s="8" t="s">
        <v>1479</v>
      </c>
      <c r="C12" s="8" t="s">
        <v>1480</v>
      </c>
      <c r="D12" s="8" t="s">
        <v>353</v>
      </c>
      <c r="E12" s="8" t="str">
        <f>"0,6699"</f>
        <v>0,6699</v>
      </c>
      <c r="F12" s="8" t="s">
        <v>1472</v>
      </c>
      <c r="G12" s="20" t="s">
        <v>146</v>
      </c>
      <c r="H12" s="20" t="s">
        <v>140</v>
      </c>
      <c r="I12" s="21" t="s">
        <v>182</v>
      </c>
      <c r="J12" s="9"/>
      <c r="K12" s="9" t="str">
        <f>"230,0"</f>
        <v>230,0</v>
      </c>
      <c r="L12" s="9" t="str">
        <f>"154,0770"</f>
        <v>154,0770</v>
      </c>
      <c r="M12" s="8" t="s">
        <v>53</v>
      </c>
    </row>
    <row r="13" spans="1:13" ht="12.75">
      <c r="A13" s="13" t="s">
        <v>39</v>
      </c>
      <c r="B13" s="12" t="s">
        <v>1481</v>
      </c>
      <c r="C13" s="12" t="s">
        <v>1482</v>
      </c>
      <c r="D13" s="12" t="s">
        <v>1483</v>
      </c>
      <c r="E13" s="12" t="str">
        <f>"0,7099"</f>
        <v>0,7099</v>
      </c>
      <c r="F13" s="12" t="s">
        <v>290</v>
      </c>
      <c r="G13" s="24" t="s">
        <v>132</v>
      </c>
      <c r="H13" s="25" t="s">
        <v>133</v>
      </c>
      <c r="I13" s="25" t="s">
        <v>133</v>
      </c>
      <c r="J13" s="25" t="s">
        <v>133</v>
      </c>
      <c r="K13" s="13" t="str">
        <f>"210,0"</f>
        <v>210,0</v>
      </c>
      <c r="L13" s="13" t="str">
        <f>"149,0790"</f>
        <v>149,0790</v>
      </c>
      <c r="M13" s="12" t="s">
        <v>53</v>
      </c>
    </row>
    <row r="14" ht="12.75">
      <c r="B14" s="4" t="s">
        <v>26</v>
      </c>
    </row>
    <row r="15" spans="1:10" ht="15">
      <c r="A15" s="45" t="s">
        <v>118</v>
      </c>
      <c r="B15" s="45"/>
      <c r="C15" s="45"/>
      <c r="D15" s="45"/>
      <c r="E15" s="45"/>
      <c r="F15" s="45"/>
      <c r="G15" s="45"/>
      <c r="H15" s="45"/>
      <c r="I15" s="45"/>
      <c r="J15" s="45"/>
    </row>
    <row r="16" spans="1:13" ht="12.75">
      <c r="A16" s="7" t="s">
        <v>15</v>
      </c>
      <c r="B16" s="6" t="s">
        <v>1484</v>
      </c>
      <c r="C16" s="6" t="s">
        <v>1485</v>
      </c>
      <c r="D16" s="6" t="s">
        <v>355</v>
      </c>
      <c r="E16" s="6" t="str">
        <f>"0,6384"</f>
        <v>0,6384</v>
      </c>
      <c r="F16" s="6" t="s">
        <v>1346</v>
      </c>
      <c r="G16" s="18" t="s">
        <v>181</v>
      </c>
      <c r="H16" s="18" t="s">
        <v>1486</v>
      </c>
      <c r="I16" s="19" t="s">
        <v>268</v>
      </c>
      <c r="J16" s="19" t="s">
        <v>268</v>
      </c>
      <c r="K16" s="7" t="str">
        <f>"277,0"</f>
        <v>277,0</v>
      </c>
      <c r="L16" s="7" t="str">
        <f>"176,8368"</f>
        <v>176,8368</v>
      </c>
      <c r="M16" s="6" t="s">
        <v>53</v>
      </c>
    </row>
    <row r="17" ht="12.75">
      <c r="B17" s="4" t="s">
        <v>26</v>
      </c>
    </row>
    <row r="18" spans="1:10" ht="15">
      <c r="A18" s="45" t="s">
        <v>190</v>
      </c>
      <c r="B18" s="45"/>
      <c r="C18" s="45"/>
      <c r="D18" s="45"/>
      <c r="E18" s="45"/>
      <c r="F18" s="45"/>
      <c r="G18" s="45"/>
      <c r="H18" s="45"/>
      <c r="I18" s="45"/>
      <c r="J18" s="45"/>
    </row>
    <row r="19" spans="1:13" ht="12.75">
      <c r="A19" s="9" t="s">
        <v>15</v>
      </c>
      <c r="B19" s="8" t="s">
        <v>1487</v>
      </c>
      <c r="C19" s="8" t="s">
        <v>336</v>
      </c>
      <c r="D19" s="8" t="s">
        <v>1488</v>
      </c>
      <c r="E19" s="8" t="str">
        <f>"0,6203"</f>
        <v>0,6203</v>
      </c>
      <c r="F19" s="31" t="s">
        <v>55</v>
      </c>
      <c r="G19" s="36" t="s">
        <v>171</v>
      </c>
      <c r="H19" s="38" t="s">
        <v>181</v>
      </c>
      <c r="I19" s="20" t="s">
        <v>181</v>
      </c>
      <c r="J19" s="35" t="s">
        <v>283</v>
      </c>
      <c r="K19" s="32" t="str">
        <f>"270,0"</f>
        <v>270,0</v>
      </c>
      <c r="L19" s="9" t="str">
        <f>"167,4810"</f>
        <v>167,4810</v>
      </c>
      <c r="M19" s="8" t="s">
        <v>911</v>
      </c>
    </row>
    <row r="20" spans="1:13" ht="12.75">
      <c r="A20" s="13" t="s">
        <v>39</v>
      </c>
      <c r="B20" s="12" t="s">
        <v>1028</v>
      </c>
      <c r="C20" s="12" t="s">
        <v>1029</v>
      </c>
      <c r="D20" s="12" t="s">
        <v>1030</v>
      </c>
      <c r="E20" s="12" t="str">
        <f>"0,6200"</f>
        <v>0,6200</v>
      </c>
      <c r="F20" s="33" t="s">
        <v>127</v>
      </c>
      <c r="G20" s="37" t="s">
        <v>140</v>
      </c>
      <c r="H20" s="37" t="s">
        <v>173</v>
      </c>
      <c r="I20" s="24" t="s">
        <v>269</v>
      </c>
      <c r="J20" s="34"/>
      <c r="K20" s="34" t="str">
        <f>"242,5"</f>
        <v>242,5</v>
      </c>
      <c r="L20" s="13" t="str">
        <f>"150,3500"</f>
        <v>150,3500</v>
      </c>
      <c r="M20" s="12" t="s">
        <v>53</v>
      </c>
    </row>
    <row r="21" ht="12.75">
      <c r="B21" s="4" t="s">
        <v>26</v>
      </c>
    </row>
    <row r="22" spans="1:10" ht="15">
      <c r="A22" s="45" t="s">
        <v>208</v>
      </c>
      <c r="B22" s="45"/>
      <c r="C22" s="45"/>
      <c r="D22" s="45"/>
      <c r="E22" s="45"/>
      <c r="F22" s="45"/>
      <c r="G22" s="45"/>
      <c r="H22" s="45"/>
      <c r="I22" s="45"/>
      <c r="J22" s="45"/>
    </row>
    <row r="23" spans="1:13" ht="12.75">
      <c r="A23" s="9" t="s">
        <v>15</v>
      </c>
      <c r="B23" s="8" t="s">
        <v>1489</v>
      </c>
      <c r="C23" s="8" t="s">
        <v>1490</v>
      </c>
      <c r="D23" s="8" t="s">
        <v>1491</v>
      </c>
      <c r="E23" s="8" t="str">
        <f>"0,5874"</f>
        <v>0,5874</v>
      </c>
      <c r="F23" s="8" t="s">
        <v>282</v>
      </c>
      <c r="G23" s="20" t="s">
        <v>136</v>
      </c>
      <c r="H23" s="20" t="s">
        <v>180</v>
      </c>
      <c r="I23" s="20" t="s">
        <v>181</v>
      </c>
      <c r="J23" s="21" t="s">
        <v>268</v>
      </c>
      <c r="K23" s="9" t="str">
        <f>"270,0"</f>
        <v>270,0</v>
      </c>
      <c r="L23" s="9" t="str">
        <f>"158,5980"</f>
        <v>158,5980</v>
      </c>
      <c r="M23" s="8" t="s">
        <v>53</v>
      </c>
    </row>
    <row r="24" spans="1:13" ht="12.75">
      <c r="A24" s="11" t="s">
        <v>39</v>
      </c>
      <c r="B24" s="10" t="s">
        <v>1492</v>
      </c>
      <c r="C24" s="10" t="s">
        <v>1493</v>
      </c>
      <c r="D24" s="10" t="s">
        <v>320</v>
      </c>
      <c r="E24" s="10" t="str">
        <f>"0,5768"</f>
        <v>0,5768</v>
      </c>
      <c r="F24" s="10" t="s">
        <v>55</v>
      </c>
      <c r="G24" s="22" t="s">
        <v>135</v>
      </c>
      <c r="H24" s="22" t="s">
        <v>136</v>
      </c>
      <c r="I24" s="22" t="s">
        <v>180</v>
      </c>
      <c r="J24" s="22" t="s">
        <v>267</v>
      </c>
      <c r="K24" s="11" t="str">
        <f>"265,0"</f>
        <v>265,0</v>
      </c>
      <c r="L24" s="11" t="str">
        <f>"152,8520"</f>
        <v>152,8520</v>
      </c>
      <c r="M24" s="10" t="s">
        <v>53</v>
      </c>
    </row>
    <row r="25" spans="1:13" ht="12.75">
      <c r="A25" s="13" t="s">
        <v>49</v>
      </c>
      <c r="B25" s="12" t="s">
        <v>1494</v>
      </c>
      <c r="C25" s="12" t="s">
        <v>1437</v>
      </c>
      <c r="D25" s="12" t="s">
        <v>1166</v>
      </c>
      <c r="E25" s="12" t="str">
        <f>"0,5788"</f>
        <v>0,5788</v>
      </c>
      <c r="F25" s="12" t="s">
        <v>55</v>
      </c>
      <c r="G25" s="24" t="s">
        <v>140</v>
      </c>
      <c r="H25" s="24" t="s">
        <v>147</v>
      </c>
      <c r="I25" s="25" t="s">
        <v>136</v>
      </c>
      <c r="J25" s="25" t="s">
        <v>136</v>
      </c>
      <c r="K25" s="13" t="str">
        <f>"240,0"</f>
        <v>240,0</v>
      </c>
      <c r="L25" s="13" t="str">
        <f>"138,9120"</f>
        <v>138,9120</v>
      </c>
      <c r="M25" s="12" t="s">
        <v>53</v>
      </c>
    </row>
    <row r="26" ht="12.75">
      <c r="B26" s="4" t="s">
        <v>26</v>
      </c>
    </row>
    <row r="27" spans="1:10" ht="15">
      <c r="A27" s="45" t="s">
        <v>214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3" ht="12.75">
      <c r="A28" s="7" t="s">
        <v>15</v>
      </c>
      <c r="B28" s="6" t="s">
        <v>1495</v>
      </c>
      <c r="C28" s="6" t="s">
        <v>1496</v>
      </c>
      <c r="D28" s="6" t="s">
        <v>1497</v>
      </c>
      <c r="E28" s="6" t="str">
        <f>"0,5592"</f>
        <v>0,5592</v>
      </c>
      <c r="F28" s="42" t="s">
        <v>1498</v>
      </c>
      <c r="G28" s="18" t="s">
        <v>267</v>
      </c>
      <c r="H28" s="18" t="s">
        <v>1499</v>
      </c>
      <c r="I28" s="18" t="s">
        <v>356</v>
      </c>
      <c r="J28" s="18" t="s">
        <v>335</v>
      </c>
      <c r="K28" s="7" t="str">
        <f>"287,5"</f>
        <v>287,5</v>
      </c>
      <c r="L28" s="7" t="str">
        <f>"160,7700"</f>
        <v>160,7700</v>
      </c>
      <c r="M28" s="6" t="s">
        <v>287</v>
      </c>
    </row>
    <row r="29" ht="12.75">
      <c r="B29" s="4" t="s">
        <v>26</v>
      </c>
    </row>
    <row r="30" spans="1:10" ht="15">
      <c r="A30" s="45" t="s">
        <v>217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3" ht="12.75">
      <c r="A31" s="9" t="s">
        <v>15</v>
      </c>
      <c r="B31" s="8" t="s">
        <v>1500</v>
      </c>
      <c r="C31" s="8" t="s">
        <v>1501</v>
      </c>
      <c r="D31" s="8" t="s">
        <v>1502</v>
      </c>
      <c r="E31" s="8" t="str">
        <f>"0,5550"</f>
        <v>0,5550</v>
      </c>
      <c r="F31" s="8" t="s">
        <v>55</v>
      </c>
      <c r="G31" s="20" t="s">
        <v>268</v>
      </c>
      <c r="H31" s="21" t="s">
        <v>215</v>
      </c>
      <c r="I31" s="20" t="s">
        <v>215</v>
      </c>
      <c r="J31" s="9"/>
      <c r="K31" s="9" t="str">
        <f>"290,0"</f>
        <v>290,0</v>
      </c>
      <c r="L31" s="9" t="str">
        <f>"160,9500"</f>
        <v>160,9500</v>
      </c>
      <c r="M31" s="8" t="s">
        <v>1503</v>
      </c>
    </row>
    <row r="32" spans="1:13" ht="12.75">
      <c r="A32" s="13" t="s">
        <v>39</v>
      </c>
      <c r="B32" s="12" t="s">
        <v>1504</v>
      </c>
      <c r="C32" s="12" t="s">
        <v>1505</v>
      </c>
      <c r="D32" s="12" t="s">
        <v>1506</v>
      </c>
      <c r="E32" s="12" t="str">
        <f>"0,5558"</f>
        <v>0,5558</v>
      </c>
      <c r="F32" s="40" t="s">
        <v>1507</v>
      </c>
      <c r="G32" s="24" t="s">
        <v>283</v>
      </c>
      <c r="H32" s="24" t="s">
        <v>356</v>
      </c>
      <c r="I32" s="25" t="s">
        <v>279</v>
      </c>
      <c r="J32" s="25" t="s">
        <v>279</v>
      </c>
      <c r="K32" s="13" t="str">
        <f>"282,5"</f>
        <v>282,5</v>
      </c>
      <c r="L32" s="13" t="str">
        <f>"157,0135"</f>
        <v>157,0135</v>
      </c>
      <c r="M32" s="12" t="s">
        <v>1508</v>
      </c>
    </row>
    <row r="33" ht="12.75">
      <c r="B33" s="4" t="s">
        <v>26</v>
      </c>
    </row>
    <row r="34" ht="12.75">
      <c r="B34" s="4" t="s">
        <v>26</v>
      </c>
    </row>
    <row r="35" ht="12.75">
      <c r="B35" s="4" t="s">
        <v>26</v>
      </c>
    </row>
    <row r="36" spans="2:6" ht="18">
      <c r="B36" s="14" t="s">
        <v>218</v>
      </c>
      <c r="C36" s="14"/>
      <c r="F36" s="3"/>
    </row>
    <row r="37" spans="2:6" ht="15">
      <c r="B37" s="44" t="s">
        <v>229</v>
      </c>
      <c r="C37" s="44"/>
      <c r="F37" s="3"/>
    </row>
    <row r="38" spans="2:6" ht="14.25">
      <c r="B38" s="15"/>
      <c r="C38" s="16" t="s">
        <v>220</v>
      </c>
      <c r="F38" s="3"/>
    </row>
    <row r="39" spans="2:6" ht="15">
      <c r="B39" s="17" t="s">
        <v>221</v>
      </c>
      <c r="C39" s="17" t="s">
        <v>222</v>
      </c>
      <c r="D39" s="17" t="s">
        <v>223</v>
      </c>
      <c r="E39" s="17" t="s">
        <v>879</v>
      </c>
      <c r="F39" s="17" t="s">
        <v>224</v>
      </c>
    </row>
    <row r="40" spans="2:6" ht="12.75">
      <c r="B40" s="4" t="s">
        <v>1484</v>
      </c>
      <c r="C40" s="4" t="s">
        <v>220</v>
      </c>
      <c r="D40" s="5" t="s">
        <v>237</v>
      </c>
      <c r="E40" s="5" t="s">
        <v>1486</v>
      </c>
      <c r="F40" s="5" t="s">
        <v>1509</v>
      </c>
    </row>
    <row r="41" spans="2:6" ht="12.75">
      <c r="B41" s="4" t="s">
        <v>1487</v>
      </c>
      <c r="C41" s="4" t="s">
        <v>220</v>
      </c>
      <c r="D41" s="5" t="s">
        <v>241</v>
      </c>
      <c r="E41" s="5" t="s">
        <v>181</v>
      </c>
      <c r="F41" s="5" t="s">
        <v>1510</v>
      </c>
    </row>
    <row r="42" spans="2:6" ht="12.75">
      <c r="B42" s="4" t="s">
        <v>1474</v>
      </c>
      <c r="C42" s="4" t="s">
        <v>220</v>
      </c>
      <c r="D42" s="5" t="s">
        <v>225</v>
      </c>
      <c r="E42" s="5" t="s">
        <v>120</v>
      </c>
      <c r="F42" s="5" t="s">
        <v>1511</v>
      </c>
    </row>
    <row r="43" ht="12.75">
      <c r="B43" s="4" t="s">
        <v>26</v>
      </c>
    </row>
  </sheetData>
  <sheetProtection/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A30:J30"/>
    <mergeCell ref="B3:B4"/>
    <mergeCell ref="A8:J8"/>
    <mergeCell ref="A11:J11"/>
    <mergeCell ref="A15:J15"/>
    <mergeCell ref="A18:J18"/>
    <mergeCell ref="A22:J22"/>
    <mergeCell ref="A27:J27"/>
    <mergeCell ref="G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1"/>
  <sheetViews>
    <sheetView zoomScalePageLayoutView="0" workbookViewId="0" topLeftCell="A118">
      <selection activeCell="F154" sqref="F154"/>
    </sheetView>
  </sheetViews>
  <sheetFormatPr defaultColWidth="9.125" defaultRowHeight="12.75"/>
  <cols>
    <col min="1" max="1" width="7.375" style="4" bestFit="1" customWidth="1"/>
    <col min="2" max="2" width="23.00390625" style="4" bestFit="1" customWidth="1"/>
    <col min="3" max="3" width="27.875" style="4" customWidth="1"/>
    <col min="4" max="4" width="13.875" style="4" bestFit="1" customWidth="1"/>
    <col min="5" max="5" width="10.375" style="4" bestFit="1" customWidth="1"/>
    <col min="6" max="6" width="26.125" style="4" bestFit="1" customWidth="1"/>
    <col min="7" max="9" width="5.375" style="5" customWidth="1"/>
    <col min="10" max="10" width="4.875" style="5" customWidth="1"/>
    <col min="11" max="11" width="10.375" style="26" bestFit="1" customWidth="1"/>
    <col min="12" max="12" width="8.375" style="5" bestFit="1" customWidth="1"/>
    <col min="13" max="13" width="24.75390625" style="4" customWidth="1"/>
    <col min="14" max="16384" width="9.125" style="3" customWidth="1"/>
  </cols>
  <sheetData>
    <row r="1" spans="1:13" s="2" customFormat="1" ht="28.5" customHeight="1">
      <c r="A1" s="56" t="s">
        <v>893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1.5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0</v>
      </c>
      <c r="B3" s="54" t="s">
        <v>1</v>
      </c>
      <c r="C3" s="66" t="s">
        <v>2</v>
      </c>
      <c r="D3" s="66" t="s">
        <v>3</v>
      </c>
      <c r="E3" s="48" t="s">
        <v>4</v>
      </c>
      <c r="F3" s="48" t="s">
        <v>5</v>
      </c>
      <c r="G3" s="48" t="s">
        <v>6</v>
      </c>
      <c r="H3" s="48"/>
      <c r="I3" s="48"/>
      <c r="J3" s="48"/>
      <c r="K3" s="46" t="s">
        <v>417</v>
      </c>
      <c r="L3" s="48" t="s">
        <v>7</v>
      </c>
      <c r="M3" s="50" t="s">
        <v>8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3">
        <v>1</v>
      </c>
      <c r="H4" s="43">
        <v>2</v>
      </c>
      <c r="I4" s="43">
        <v>3</v>
      </c>
      <c r="J4" s="43" t="s">
        <v>9</v>
      </c>
      <c r="K4" s="47"/>
      <c r="L4" s="49"/>
      <c r="M4" s="51"/>
    </row>
    <row r="5" spans="1:10" ht="15">
      <c r="A5" s="52" t="s">
        <v>27</v>
      </c>
      <c r="B5" s="52"/>
      <c r="C5" s="53"/>
      <c r="D5" s="53"/>
      <c r="E5" s="53"/>
      <c r="F5" s="53"/>
      <c r="G5" s="53"/>
      <c r="H5" s="53"/>
      <c r="I5" s="53"/>
      <c r="J5" s="53"/>
    </row>
    <row r="6" spans="1:13" ht="12.75">
      <c r="A6" s="7" t="s">
        <v>15</v>
      </c>
      <c r="B6" s="6" t="s">
        <v>894</v>
      </c>
      <c r="C6" s="6" t="s">
        <v>895</v>
      </c>
      <c r="D6" s="6" t="s">
        <v>896</v>
      </c>
      <c r="E6" s="6" t="str">
        <f>"1,3367"</f>
        <v>1,3367</v>
      </c>
      <c r="F6" s="6" t="s">
        <v>55</v>
      </c>
      <c r="G6" s="18" t="s">
        <v>83</v>
      </c>
      <c r="H6" s="18" t="s">
        <v>74</v>
      </c>
      <c r="I6" s="18" t="s">
        <v>897</v>
      </c>
      <c r="J6" s="7"/>
      <c r="K6" s="30" t="str">
        <f>"71,0"</f>
        <v>71,0</v>
      </c>
      <c r="L6" s="7" t="str">
        <f>"94,9057"</f>
        <v>94,9057</v>
      </c>
      <c r="M6" s="6" t="s">
        <v>898</v>
      </c>
    </row>
    <row r="7" ht="12.75">
      <c r="B7" s="4" t="s">
        <v>26</v>
      </c>
    </row>
    <row r="8" spans="1:10" ht="15">
      <c r="A8" s="45" t="s">
        <v>54</v>
      </c>
      <c r="B8" s="45"/>
      <c r="C8" s="45"/>
      <c r="D8" s="45"/>
      <c r="E8" s="45"/>
      <c r="F8" s="45"/>
      <c r="G8" s="45"/>
      <c r="H8" s="45"/>
      <c r="I8" s="45"/>
      <c r="J8" s="45"/>
    </row>
    <row r="9" spans="1:13" ht="12.75">
      <c r="A9" s="9" t="s">
        <v>15</v>
      </c>
      <c r="B9" s="8" t="s">
        <v>899</v>
      </c>
      <c r="C9" s="8" t="s">
        <v>900</v>
      </c>
      <c r="D9" s="8" t="s">
        <v>72</v>
      </c>
      <c r="E9" s="8" t="str">
        <f>"1,2466"</f>
        <v>1,2466</v>
      </c>
      <c r="F9" s="39" t="s">
        <v>901</v>
      </c>
      <c r="G9" s="20" t="s">
        <v>21</v>
      </c>
      <c r="H9" s="21" t="s">
        <v>35</v>
      </c>
      <c r="I9" s="21" t="s">
        <v>35</v>
      </c>
      <c r="J9" s="9"/>
      <c r="K9" s="27" t="str">
        <f>"55,0"</f>
        <v>55,0</v>
      </c>
      <c r="L9" s="9" t="str">
        <f>"68,5630"</f>
        <v>68,5630</v>
      </c>
      <c r="M9" s="8" t="s">
        <v>351</v>
      </c>
    </row>
    <row r="10" spans="1:13" ht="12.75">
      <c r="A10" s="13" t="s">
        <v>15</v>
      </c>
      <c r="B10" s="12" t="s">
        <v>902</v>
      </c>
      <c r="C10" s="12" t="s">
        <v>903</v>
      </c>
      <c r="D10" s="12" t="s">
        <v>67</v>
      </c>
      <c r="E10" s="12" t="str">
        <f>"1,2673"</f>
        <v>1,2673</v>
      </c>
      <c r="F10" s="12" t="s">
        <v>316</v>
      </c>
      <c r="G10" s="24" t="s">
        <v>99</v>
      </c>
      <c r="H10" s="24" t="s">
        <v>74</v>
      </c>
      <c r="I10" s="25" t="s">
        <v>31</v>
      </c>
      <c r="J10" s="13"/>
      <c r="K10" s="28" t="str">
        <f>"70,0"</f>
        <v>70,0</v>
      </c>
      <c r="L10" s="13" t="str">
        <f>"88,7110"</f>
        <v>88,7110</v>
      </c>
      <c r="M10" s="12" t="s">
        <v>904</v>
      </c>
    </row>
    <row r="11" ht="12.75">
      <c r="B11" s="4" t="s">
        <v>26</v>
      </c>
    </row>
    <row r="12" spans="1:10" ht="15">
      <c r="A12" s="45" t="s">
        <v>76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3" ht="12.75">
      <c r="A13" s="9" t="s">
        <v>15</v>
      </c>
      <c r="B13" s="8" t="s">
        <v>247</v>
      </c>
      <c r="C13" s="8" t="s">
        <v>248</v>
      </c>
      <c r="D13" s="8" t="s">
        <v>79</v>
      </c>
      <c r="E13" s="8" t="str">
        <f>"1,1849"</f>
        <v>1,1849</v>
      </c>
      <c r="F13" s="8" t="s">
        <v>249</v>
      </c>
      <c r="G13" s="20" t="s">
        <v>34</v>
      </c>
      <c r="H13" s="20" t="s">
        <v>83</v>
      </c>
      <c r="I13" s="21" t="s">
        <v>99</v>
      </c>
      <c r="J13" s="9"/>
      <c r="K13" s="27" t="str">
        <f>"65,0"</f>
        <v>65,0</v>
      </c>
      <c r="L13" s="9" t="str">
        <f>"77,0185"</f>
        <v>77,0185</v>
      </c>
      <c r="M13" s="8" t="s">
        <v>250</v>
      </c>
    </row>
    <row r="14" spans="1:13" ht="12.75">
      <c r="A14" s="13" t="s">
        <v>39</v>
      </c>
      <c r="B14" s="12" t="s">
        <v>347</v>
      </c>
      <c r="C14" s="12" t="s">
        <v>294</v>
      </c>
      <c r="D14" s="12" t="s">
        <v>348</v>
      </c>
      <c r="E14" s="12" t="str">
        <f>"1,1985"</f>
        <v>1,1985</v>
      </c>
      <c r="F14" s="12" t="s">
        <v>349</v>
      </c>
      <c r="G14" s="24" t="s">
        <v>244</v>
      </c>
      <c r="H14" s="24" t="s">
        <v>245</v>
      </c>
      <c r="I14" s="24" t="s">
        <v>29</v>
      </c>
      <c r="J14" s="13"/>
      <c r="K14" s="28" t="str">
        <f>"37,5"</f>
        <v>37,5</v>
      </c>
      <c r="L14" s="13" t="str">
        <f>"44,9438"</f>
        <v>44,9438</v>
      </c>
      <c r="M14" s="12" t="s">
        <v>350</v>
      </c>
    </row>
    <row r="15" ht="12.75">
      <c r="B15" s="4" t="s">
        <v>26</v>
      </c>
    </row>
    <row r="16" spans="1:10" ht="15">
      <c r="A16" s="45" t="s">
        <v>91</v>
      </c>
      <c r="B16" s="45"/>
      <c r="C16" s="45"/>
      <c r="D16" s="45"/>
      <c r="E16" s="45"/>
      <c r="F16" s="45"/>
      <c r="G16" s="45"/>
      <c r="H16" s="45"/>
      <c r="I16" s="45"/>
      <c r="J16" s="45"/>
    </row>
    <row r="17" spans="1:13" ht="12.75">
      <c r="A17" s="9" t="s">
        <v>15</v>
      </c>
      <c r="B17" s="8" t="s">
        <v>905</v>
      </c>
      <c r="C17" s="8" t="s">
        <v>906</v>
      </c>
      <c r="D17" s="8" t="s">
        <v>907</v>
      </c>
      <c r="E17" s="8" t="str">
        <f>"1,1236"</f>
        <v>1,1236</v>
      </c>
      <c r="F17" s="8" t="s">
        <v>252</v>
      </c>
      <c r="G17" s="20" t="s">
        <v>35</v>
      </c>
      <c r="H17" s="20" t="s">
        <v>99</v>
      </c>
      <c r="I17" s="21" t="s">
        <v>74</v>
      </c>
      <c r="J17" s="9"/>
      <c r="K17" s="27" t="str">
        <f>"67,5"</f>
        <v>67,5</v>
      </c>
      <c r="L17" s="9" t="str">
        <f>"75,8430"</f>
        <v>75,8430</v>
      </c>
      <c r="M17" s="8" t="s">
        <v>908</v>
      </c>
    </row>
    <row r="18" spans="1:13" ht="12.75">
      <c r="A18" s="13" t="s">
        <v>15</v>
      </c>
      <c r="B18" s="12" t="s">
        <v>909</v>
      </c>
      <c r="C18" s="12" t="s">
        <v>910</v>
      </c>
      <c r="D18" s="12" t="s">
        <v>251</v>
      </c>
      <c r="E18" s="12" t="str">
        <f>"1,1207"</f>
        <v>1,1207</v>
      </c>
      <c r="F18" s="12" t="s">
        <v>281</v>
      </c>
      <c r="G18" s="24" t="s">
        <v>31</v>
      </c>
      <c r="H18" s="24" t="s">
        <v>28</v>
      </c>
      <c r="I18" s="25" t="s">
        <v>18</v>
      </c>
      <c r="J18" s="13"/>
      <c r="K18" s="28" t="str">
        <f>"77,5"</f>
        <v>77,5</v>
      </c>
      <c r="L18" s="13" t="str">
        <f>"87,2885"</f>
        <v>87,2885</v>
      </c>
      <c r="M18" s="12" t="s">
        <v>911</v>
      </c>
    </row>
    <row r="19" ht="12.75">
      <c r="B19" s="4" t="s">
        <v>26</v>
      </c>
    </row>
    <row r="20" spans="1:10" ht="15">
      <c r="A20" s="45" t="s">
        <v>93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13" ht="12.75">
      <c r="A21" s="9" t="s">
        <v>15</v>
      </c>
      <c r="B21" s="8" t="s">
        <v>912</v>
      </c>
      <c r="C21" s="8" t="s">
        <v>913</v>
      </c>
      <c r="D21" s="8" t="s">
        <v>914</v>
      </c>
      <c r="E21" s="8" t="str">
        <f>"1,0228"</f>
        <v>1,0228</v>
      </c>
      <c r="F21" s="8" t="s">
        <v>130</v>
      </c>
      <c r="G21" s="20" t="s">
        <v>74</v>
      </c>
      <c r="H21" s="21" t="s">
        <v>28</v>
      </c>
      <c r="I21" s="21" t="s">
        <v>28</v>
      </c>
      <c r="J21" s="9"/>
      <c r="K21" s="27" t="str">
        <f>"70,0"</f>
        <v>70,0</v>
      </c>
      <c r="L21" s="9" t="str">
        <f>"71,5960"</f>
        <v>71,5960</v>
      </c>
      <c r="M21" s="8" t="s">
        <v>216</v>
      </c>
    </row>
    <row r="22" spans="1:13" ht="12.75">
      <c r="A22" s="11" t="s">
        <v>15</v>
      </c>
      <c r="B22" s="10" t="s">
        <v>915</v>
      </c>
      <c r="C22" s="10" t="s">
        <v>916</v>
      </c>
      <c r="D22" s="10" t="s">
        <v>917</v>
      </c>
      <c r="E22" s="10" t="str">
        <f>"1,0250"</f>
        <v>1,0250</v>
      </c>
      <c r="F22" s="10" t="s">
        <v>55</v>
      </c>
      <c r="G22" s="22" t="s">
        <v>60</v>
      </c>
      <c r="H22" s="22" t="s">
        <v>50</v>
      </c>
      <c r="I22" s="22" t="s">
        <v>51</v>
      </c>
      <c r="J22" s="11"/>
      <c r="K22" s="29" t="str">
        <f>"110,0"</f>
        <v>110,0</v>
      </c>
      <c r="L22" s="11" t="str">
        <f>"112,7500"</f>
        <v>112,7500</v>
      </c>
      <c r="M22" s="10" t="s">
        <v>918</v>
      </c>
    </row>
    <row r="23" spans="1:13" ht="12.75">
      <c r="A23" s="11" t="s">
        <v>39</v>
      </c>
      <c r="B23" s="10" t="s">
        <v>254</v>
      </c>
      <c r="C23" s="10" t="s">
        <v>255</v>
      </c>
      <c r="D23" s="10" t="s">
        <v>98</v>
      </c>
      <c r="E23" s="10" t="str">
        <f>"1,0576"</f>
        <v>1,0576</v>
      </c>
      <c r="F23" s="10" t="s">
        <v>186</v>
      </c>
      <c r="G23" s="22" t="s">
        <v>60</v>
      </c>
      <c r="H23" s="22" t="s">
        <v>50</v>
      </c>
      <c r="I23" s="23" t="s">
        <v>256</v>
      </c>
      <c r="J23" s="11"/>
      <c r="K23" s="29" t="str">
        <f>"105,0"</f>
        <v>105,0</v>
      </c>
      <c r="L23" s="11" t="str">
        <f>"111,0480"</f>
        <v>111,0480</v>
      </c>
      <c r="M23" s="10" t="s">
        <v>257</v>
      </c>
    </row>
    <row r="24" spans="1:13" ht="12.75">
      <c r="A24" s="13" t="s">
        <v>49</v>
      </c>
      <c r="B24" s="12" t="s">
        <v>919</v>
      </c>
      <c r="C24" s="12" t="s">
        <v>920</v>
      </c>
      <c r="D24" s="12" t="s">
        <v>921</v>
      </c>
      <c r="E24" s="12" t="str">
        <f>"1,0362"</f>
        <v>1,0362</v>
      </c>
      <c r="F24" s="40" t="s">
        <v>922</v>
      </c>
      <c r="G24" s="24" t="s">
        <v>43</v>
      </c>
      <c r="H24" s="25" t="s">
        <v>23</v>
      </c>
      <c r="I24" s="25" t="s">
        <v>23</v>
      </c>
      <c r="J24" s="13"/>
      <c r="K24" s="28" t="str">
        <f>"90,0"</f>
        <v>90,0</v>
      </c>
      <c r="L24" s="13" t="str">
        <f>"93,2580"</f>
        <v>93,2580</v>
      </c>
      <c r="M24" s="12" t="s">
        <v>287</v>
      </c>
    </row>
    <row r="25" ht="12.75">
      <c r="B25" s="4" t="s">
        <v>26</v>
      </c>
    </row>
    <row r="26" spans="1:10" ht="15">
      <c r="A26" s="45" t="s">
        <v>107</v>
      </c>
      <c r="B26" s="45"/>
      <c r="C26" s="45"/>
      <c r="D26" s="45"/>
      <c r="E26" s="45"/>
      <c r="F26" s="45"/>
      <c r="G26" s="45"/>
      <c r="H26" s="45"/>
      <c r="I26" s="45"/>
      <c r="J26" s="45"/>
    </row>
    <row r="27" spans="1:13" ht="12.75">
      <c r="A27" s="7" t="s">
        <v>15</v>
      </c>
      <c r="B27" s="6" t="s">
        <v>923</v>
      </c>
      <c r="C27" s="6" t="s">
        <v>924</v>
      </c>
      <c r="D27" s="6" t="s">
        <v>114</v>
      </c>
      <c r="E27" s="6" t="str">
        <f>"0,9769"</f>
        <v>0,9769</v>
      </c>
      <c r="F27" s="6" t="s">
        <v>55</v>
      </c>
      <c r="G27" s="18" t="s">
        <v>61</v>
      </c>
      <c r="H27" s="18" t="s">
        <v>62</v>
      </c>
      <c r="I27" s="19" t="s">
        <v>63</v>
      </c>
      <c r="J27" s="7"/>
      <c r="K27" s="30" t="str">
        <f>"125,0"</f>
        <v>125,0</v>
      </c>
      <c r="L27" s="7" t="str">
        <f>"122,1125"</f>
        <v>122,1125</v>
      </c>
      <c r="M27" s="6" t="s">
        <v>925</v>
      </c>
    </row>
    <row r="28" ht="12.75">
      <c r="B28" s="4" t="s">
        <v>26</v>
      </c>
    </row>
    <row r="29" spans="1:10" ht="15">
      <c r="A29" s="45" t="s">
        <v>54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3" ht="12.75">
      <c r="A30" s="7" t="s">
        <v>15</v>
      </c>
      <c r="B30" s="6" t="s">
        <v>926</v>
      </c>
      <c r="C30" s="6" t="s">
        <v>927</v>
      </c>
      <c r="D30" s="6" t="s">
        <v>444</v>
      </c>
      <c r="E30" s="6" t="str">
        <f>"1,0101"</f>
        <v>1,0101</v>
      </c>
      <c r="F30" s="6" t="s">
        <v>468</v>
      </c>
      <c r="G30" s="19" t="s">
        <v>30</v>
      </c>
      <c r="H30" s="18" t="s">
        <v>30</v>
      </c>
      <c r="I30" s="18" t="s">
        <v>90</v>
      </c>
      <c r="J30" s="19" t="s">
        <v>928</v>
      </c>
      <c r="K30" s="30" t="str">
        <f>"42,5"</f>
        <v>42,5</v>
      </c>
      <c r="L30" s="7" t="str">
        <f>"42,9293"</f>
        <v>42,9293</v>
      </c>
      <c r="M30" s="6" t="s">
        <v>53</v>
      </c>
    </row>
    <row r="31" ht="12.75">
      <c r="B31" s="4" t="s">
        <v>26</v>
      </c>
    </row>
    <row r="32" spans="1:10" ht="15">
      <c r="A32" s="45" t="s">
        <v>76</v>
      </c>
      <c r="B32" s="45"/>
      <c r="C32" s="45"/>
      <c r="D32" s="45"/>
      <c r="E32" s="45"/>
      <c r="F32" s="45"/>
      <c r="G32" s="45"/>
      <c r="H32" s="45"/>
      <c r="I32" s="45"/>
      <c r="J32" s="45"/>
    </row>
    <row r="33" spans="1:13" ht="12.75">
      <c r="A33" s="7" t="s">
        <v>15</v>
      </c>
      <c r="B33" s="6" t="s">
        <v>929</v>
      </c>
      <c r="C33" s="6" t="s">
        <v>930</v>
      </c>
      <c r="D33" s="6" t="s">
        <v>931</v>
      </c>
      <c r="E33" s="6" t="str">
        <f>"0,9565"</f>
        <v>0,9565</v>
      </c>
      <c r="F33" s="6" t="s">
        <v>932</v>
      </c>
      <c r="G33" s="18" t="s">
        <v>20</v>
      </c>
      <c r="H33" s="18" t="s">
        <v>57</v>
      </c>
      <c r="I33" s="18" t="s">
        <v>34</v>
      </c>
      <c r="J33" s="7"/>
      <c r="K33" s="30" t="str">
        <f>"60,0"</f>
        <v>60,0</v>
      </c>
      <c r="L33" s="7" t="str">
        <f>"57,3900"</f>
        <v>57,3900</v>
      </c>
      <c r="M33" s="6" t="s">
        <v>933</v>
      </c>
    </row>
    <row r="34" ht="12.75">
      <c r="B34" s="4" t="s">
        <v>26</v>
      </c>
    </row>
    <row r="35" spans="1:10" ht="15">
      <c r="A35" s="45" t="s">
        <v>91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3" ht="12.75">
      <c r="A36" s="7" t="s">
        <v>15</v>
      </c>
      <c r="B36" s="6" t="s">
        <v>934</v>
      </c>
      <c r="C36" s="6" t="s">
        <v>137</v>
      </c>
      <c r="D36" s="6" t="s">
        <v>935</v>
      </c>
      <c r="E36" s="6" t="str">
        <f>"0,8874"</f>
        <v>0,8874</v>
      </c>
      <c r="F36" s="6" t="s">
        <v>901</v>
      </c>
      <c r="G36" s="18" t="s">
        <v>45</v>
      </c>
      <c r="H36" s="18" t="s">
        <v>21</v>
      </c>
      <c r="I36" s="19" t="s">
        <v>34</v>
      </c>
      <c r="J36" s="7"/>
      <c r="K36" s="30" t="str">
        <f>"55,0"</f>
        <v>55,0</v>
      </c>
      <c r="L36" s="7" t="str">
        <f>"48,8070"</f>
        <v>48,8070</v>
      </c>
      <c r="M36" s="6" t="s">
        <v>936</v>
      </c>
    </row>
    <row r="37" ht="12.75">
      <c r="B37" s="4" t="s">
        <v>26</v>
      </c>
    </row>
    <row r="38" spans="1:10" ht="15">
      <c r="A38" s="45" t="s">
        <v>93</v>
      </c>
      <c r="B38" s="45"/>
      <c r="C38" s="45"/>
      <c r="D38" s="45"/>
      <c r="E38" s="45"/>
      <c r="F38" s="45"/>
      <c r="G38" s="45"/>
      <c r="H38" s="45"/>
      <c r="I38" s="45"/>
      <c r="J38" s="45"/>
    </row>
    <row r="39" spans="1:13" ht="12.75">
      <c r="A39" s="7" t="s">
        <v>15</v>
      </c>
      <c r="B39" s="6" t="s">
        <v>937</v>
      </c>
      <c r="C39" s="6" t="s">
        <v>938</v>
      </c>
      <c r="D39" s="6" t="s">
        <v>914</v>
      </c>
      <c r="E39" s="6" t="str">
        <f>"0,7729"</f>
        <v>0,7729</v>
      </c>
      <c r="F39" s="6" t="s">
        <v>55</v>
      </c>
      <c r="G39" s="18" t="s">
        <v>61</v>
      </c>
      <c r="H39" s="18" t="s">
        <v>62</v>
      </c>
      <c r="I39" s="19" t="s">
        <v>87</v>
      </c>
      <c r="J39" s="7"/>
      <c r="K39" s="30" t="str">
        <f>"125,0"</f>
        <v>125,0</v>
      </c>
      <c r="L39" s="7" t="str">
        <f>"96,6125"</f>
        <v>96,6125</v>
      </c>
      <c r="M39" s="6" t="s">
        <v>53</v>
      </c>
    </row>
    <row r="40" ht="12.75">
      <c r="B40" s="4" t="s">
        <v>26</v>
      </c>
    </row>
    <row r="41" spans="1:10" ht="15">
      <c r="A41" s="45" t="s">
        <v>107</v>
      </c>
      <c r="B41" s="45"/>
      <c r="C41" s="45"/>
      <c r="D41" s="45"/>
      <c r="E41" s="45"/>
      <c r="F41" s="45"/>
      <c r="G41" s="45"/>
      <c r="H41" s="45"/>
      <c r="I41" s="45"/>
      <c r="J41" s="45"/>
    </row>
    <row r="42" spans="1:13" ht="12.75">
      <c r="A42" s="9" t="s">
        <v>15</v>
      </c>
      <c r="B42" s="8" t="s">
        <v>939</v>
      </c>
      <c r="C42" s="8" t="s">
        <v>940</v>
      </c>
      <c r="D42" s="8" t="s">
        <v>941</v>
      </c>
      <c r="E42" s="8" t="str">
        <f>"0,7207"</f>
        <v>0,7207</v>
      </c>
      <c r="F42" s="8" t="s">
        <v>55</v>
      </c>
      <c r="G42" s="20" t="s">
        <v>63</v>
      </c>
      <c r="H42" s="20" t="s">
        <v>85</v>
      </c>
      <c r="I42" s="20" t="s">
        <v>58</v>
      </c>
      <c r="J42" s="9"/>
      <c r="K42" s="27" t="str">
        <f>"137,5"</f>
        <v>137,5</v>
      </c>
      <c r="L42" s="9" t="str">
        <f>"99,0963"</f>
        <v>99,0963</v>
      </c>
      <c r="M42" s="8" t="s">
        <v>246</v>
      </c>
    </row>
    <row r="43" spans="1:13" ht="12.75">
      <c r="A43" s="11" t="s">
        <v>39</v>
      </c>
      <c r="B43" s="10" t="s">
        <v>942</v>
      </c>
      <c r="C43" s="10" t="s">
        <v>943</v>
      </c>
      <c r="D43" s="10" t="s">
        <v>328</v>
      </c>
      <c r="E43" s="10" t="str">
        <f>"0,7126"</f>
        <v>0,7126</v>
      </c>
      <c r="F43" s="41" t="s">
        <v>944</v>
      </c>
      <c r="G43" s="22" t="s">
        <v>62</v>
      </c>
      <c r="H43" s="22" t="s">
        <v>63</v>
      </c>
      <c r="I43" s="23" t="s">
        <v>85</v>
      </c>
      <c r="J43" s="11"/>
      <c r="K43" s="29" t="str">
        <f>"130,0"</f>
        <v>130,0</v>
      </c>
      <c r="L43" s="11" t="str">
        <f>"92,6380"</f>
        <v>92,6380</v>
      </c>
      <c r="M43" s="10" t="s">
        <v>945</v>
      </c>
    </row>
    <row r="44" spans="1:13" ht="12.75">
      <c r="A44" s="11" t="s">
        <v>15</v>
      </c>
      <c r="B44" s="10" t="s">
        <v>946</v>
      </c>
      <c r="C44" s="10" t="s">
        <v>121</v>
      </c>
      <c r="D44" s="10" t="s">
        <v>113</v>
      </c>
      <c r="E44" s="10" t="str">
        <f>"0,7193"</f>
        <v>0,7193</v>
      </c>
      <c r="F44" s="41" t="s">
        <v>947</v>
      </c>
      <c r="G44" s="22" t="s">
        <v>169</v>
      </c>
      <c r="H44" s="22" t="s">
        <v>150</v>
      </c>
      <c r="I44" s="23" t="s">
        <v>132</v>
      </c>
      <c r="J44" s="11"/>
      <c r="K44" s="29" t="str">
        <f>"207,5"</f>
        <v>207,5</v>
      </c>
      <c r="L44" s="11" t="str">
        <f>"149,2547"</f>
        <v>149,2547</v>
      </c>
      <c r="M44" s="10" t="s">
        <v>948</v>
      </c>
    </row>
    <row r="45" spans="1:13" ht="12.75">
      <c r="A45" s="11" t="s">
        <v>39</v>
      </c>
      <c r="B45" s="10" t="s">
        <v>949</v>
      </c>
      <c r="C45" s="10" t="s">
        <v>950</v>
      </c>
      <c r="D45" s="10" t="s">
        <v>328</v>
      </c>
      <c r="E45" s="10" t="str">
        <f>"0,7126"</f>
        <v>0,7126</v>
      </c>
      <c r="F45" s="10" t="s">
        <v>711</v>
      </c>
      <c r="G45" s="22" t="s">
        <v>97</v>
      </c>
      <c r="H45" s="23" t="s">
        <v>126</v>
      </c>
      <c r="I45" s="22" t="s">
        <v>126</v>
      </c>
      <c r="J45" s="11"/>
      <c r="K45" s="29" t="str">
        <f>"180,0"</f>
        <v>180,0</v>
      </c>
      <c r="L45" s="11" t="str">
        <f>"128,2680"</f>
        <v>128,2680</v>
      </c>
      <c r="M45" s="10" t="s">
        <v>951</v>
      </c>
    </row>
    <row r="46" spans="1:13" ht="12.75">
      <c r="A46" s="11" t="s">
        <v>15</v>
      </c>
      <c r="B46" s="10" t="s">
        <v>952</v>
      </c>
      <c r="C46" s="10" t="s">
        <v>953</v>
      </c>
      <c r="D46" s="10" t="s">
        <v>154</v>
      </c>
      <c r="E46" s="10" t="str">
        <f>"0,7159"</f>
        <v>0,7159</v>
      </c>
      <c r="F46" s="41" t="s">
        <v>954</v>
      </c>
      <c r="G46" s="22" t="s">
        <v>97</v>
      </c>
      <c r="H46" s="23" t="s">
        <v>167</v>
      </c>
      <c r="I46" s="23" t="s">
        <v>167</v>
      </c>
      <c r="J46" s="11"/>
      <c r="K46" s="29" t="str">
        <f>"172,5"</f>
        <v>172,5</v>
      </c>
      <c r="L46" s="11" t="str">
        <f>"144,2395"</f>
        <v>144,2395</v>
      </c>
      <c r="M46" s="10" t="s">
        <v>955</v>
      </c>
    </row>
    <row r="47" spans="1:13" ht="12.75">
      <c r="A47" s="11" t="s">
        <v>15</v>
      </c>
      <c r="B47" s="10" t="s">
        <v>597</v>
      </c>
      <c r="C47" s="10" t="s">
        <v>598</v>
      </c>
      <c r="D47" s="10" t="s">
        <v>261</v>
      </c>
      <c r="E47" s="10" t="str">
        <f>"0,7300"</f>
        <v>0,7300</v>
      </c>
      <c r="F47" s="10" t="s">
        <v>599</v>
      </c>
      <c r="G47" s="22" t="s">
        <v>19</v>
      </c>
      <c r="H47" s="22" t="s">
        <v>43</v>
      </c>
      <c r="I47" s="22" t="s">
        <v>23</v>
      </c>
      <c r="J47" s="11"/>
      <c r="K47" s="29" t="str">
        <f>"95,0"</f>
        <v>95,0</v>
      </c>
      <c r="L47" s="11" t="str">
        <f>"108,5328"</f>
        <v>108,5328</v>
      </c>
      <c r="M47" s="10" t="s">
        <v>600</v>
      </c>
    </row>
    <row r="48" spans="1:13" ht="12.75">
      <c r="A48" s="13" t="s">
        <v>15</v>
      </c>
      <c r="B48" s="12" t="s">
        <v>956</v>
      </c>
      <c r="C48" s="12" t="s">
        <v>957</v>
      </c>
      <c r="D48" s="12" t="s">
        <v>958</v>
      </c>
      <c r="E48" s="12" t="str">
        <f>"0,7278"</f>
        <v>0,7278</v>
      </c>
      <c r="F48" s="12" t="s">
        <v>285</v>
      </c>
      <c r="G48" s="24" t="s">
        <v>99</v>
      </c>
      <c r="H48" s="24" t="s">
        <v>84</v>
      </c>
      <c r="I48" s="24" t="s">
        <v>31</v>
      </c>
      <c r="J48" s="13"/>
      <c r="K48" s="28" t="str">
        <f>"75,0"</f>
        <v>75,0</v>
      </c>
      <c r="L48" s="13" t="str">
        <f>"108,0783"</f>
        <v>108,0783</v>
      </c>
      <c r="M48" s="12" t="s">
        <v>53</v>
      </c>
    </row>
    <row r="49" ht="12.75">
      <c r="B49" s="4" t="s">
        <v>26</v>
      </c>
    </row>
    <row r="50" spans="1:10" ht="15">
      <c r="A50" s="45" t="s">
        <v>115</v>
      </c>
      <c r="B50" s="45"/>
      <c r="C50" s="45"/>
      <c r="D50" s="45"/>
      <c r="E50" s="45"/>
      <c r="F50" s="45"/>
      <c r="G50" s="45"/>
      <c r="H50" s="45"/>
      <c r="I50" s="45"/>
      <c r="J50" s="45"/>
    </row>
    <row r="51" spans="1:13" ht="12.75">
      <c r="A51" s="9" t="s">
        <v>15</v>
      </c>
      <c r="B51" s="8" t="s">
        <v>959</v>
      </c>
      <c r="C51" s="8" t="s">
        <v>960</v>
      </c>
      <c r="D51" s="8" t="s">
        <v>961</v>
      </c>
      <c r="E51" s="8" t="str">
        <f>"0,6893"</f>
        <v>0,6893</v>
      </c>
      <c r="F51" s="39" t="s">
        <v>962</v>
      </c>
      <c r="G51" s="20" t="s">
        <v>36</v>
      </c>
      <c r="H51" s="20" t="s">
        <v>38</v>
      </c>
      <c r="I51" s="21" t="s">
        <v>116</v>
      </c>
      <c r="J51" s="9"/>
      <c r="K51" s="27" t="str">
        <f>"155,0"</f>
        <v>155,0</v>
      </c>
      <c r="L51" s="9" t="str">
        <f>"106,8415"</f>
        <v>106,8415</v>
      </c>
      <c r="M51" s="8" t="s">
        <v>53</v>
      </c>
    </row>
    <row r="52" spans="1:13" ht="12.75">
      <c r="A52" s="11" t="s">
        <v>39</v>
      </c>
      <c r="B52" s="10" t="s">
        <v>963</v>
      </c>
      <c r="C52" s="10" t="s">
        <v>407</v>
      </c>
      <c r="D52" s="10" t="s">
        <v>260</v>
      </c>
      <c r="E52" s="10" t="str">
        <f>"0,6759"</f>
        <v>0,6759</v>
      </c>
      <c r="F52" s="10" t="s">
        <v>55</v>
      </c>
      <c r="G52" s="22" t="s">
        <v>36</v>
      </c>
      <c r="H52" s="22" t="s">
        <v>37</v>
      </c>
      <c r="I52" s="22" t="s">
        <v>38</v>
      </c>
      <c r="J52" s="11"/>
      <c r="K52" s="29" t="str">
        <f>"155,0"</f>
        <v>155,0</v>
      </c>
      <c r="L52" s="11" t="str">
        <f>"104,7645"</f>
        <v>104,7645</v>
      </c>
      <c r="M52" s="10" t="s">
        <v>53</v>
      </c>
    </row>
    <row r="53" spans="1:13" ht="12.75">
      <c r="A53" s="11" t="s">
        <v>15</v>
      </c>
      <c r="B53" s="10" t="s">
        <v>964</v>
      </c>
      <c r="C53" s="10" t="s">
        <v>965</v>
      </c>
      <c r="D53" s="10" t="s">
        <v>966</v>
      </c>
      <c r="E53" s="10" t="str">
        <f>"0,6749"</f>
        <v>0,6749</v>
      </c>
      <c r="F53" s="10" t="s">
        <v>55</v>
      </c>
      <c r="G53" s="22" t="s">
        <v>120</v>
      </c>
      <c r="H53" s="23" t="s">
        <v>126</v>
      </c>
      <c r="I53" s="22" t="s">
        <v>123</v>
      </c>
      <c r="J53" s="11"/>
      <c r="K53" s="29" t="str">
        <f>"185,0"</f>
        <v>185,0</v>
      </c>
      <c r="L53" s="11" t="str">
        <f>"124,8565"</f>
        <v>124,8565</v>
      </c>
      <c r="M53" s="10" t="s">
        <v>967</v>
      </c>
    </row>
    <row r="54" spans="1:13" ht="12.75">
      <c r="A54" s="11" t="s">
        <v>39</v>
      </c>
      <c r="B54" s="10" t="s">
        <v>968</v>
      </c>
      <c r="C54" s="10" t="s">
        <v>969</v>
      </c>
      <c r="D54" s="10" t="s">
        <v>332</v>
      </c>
      <c r="E54" s="10" t="str">
        <f>"0,6860"</f>
        <v>0,6860</v>
      </c>
      <c r="F54" s="41" t="s">
        <v>970</v>
      </c>
      <c r="G54" s="22" t="s">
        <v>117</v>
      </c>
      <c r="H54" s="22" t="s">
        <v>120</v>
      </c>
      <c r="I54" s="22" t="s">
        <v>159</v>
      </c>
      <c r="J54" s="11"/>
      <c r="K54" s="29" t="str">
        <f>"182,5"</f>
        <v>182,5</v>
      </c>
      <c r="L54" s="11" t="str">
        <f>"125,1950"</f>
        <v>125,1950</v>
      </c>
      <c r="M54" s="10" t="s">
        <v>53</v>
      </c>
    </row>
    <row r="55" spans="1:13" ht="12.75">
      <c r="A55" s="11" t="s">
        <v>49</v>
      </c>
      <c r="B55" s="10" t="s">
        <v>971</v>
      </c>
      <c r="C55" s="10" t="s">
        <v>972</v>
      </c>
      <c r="D55" s="10" t="s">
        <v>260</v>
      </c>
      <c r="E55" s="10" t="str">
        <f>"0,6759"</f>
        <v>0,6759</v>
      </c>
      <c r="F55" s="41" t="s">
        <v>973</v>
      </c>
      <c r="G55" s="22" t="s">
        <v>116</v>
      </c>
      <c r="H55" s="22" t="s">
        <v>117</v>
      </c>
      <c r="I55" s="23" t="s">
        <v>126</v>
      </c>
      <c r="J55" s="11"/>
      <c r="K55" s="29" t="str">
        <f>"170,0"</f>
        <v>170,0</v>
      </c>
      <c r="L55" s="11" t="str">
        <f>"114,9030"</f>
        <v>114,9030</v>
      </c>
      <c r="M55" s="10" t="s">
        <v>368</v>
      </c>
    </row>
    <row r="56" spans="1:13" ht="12.75">
      <c r="A56" s="11" t="s">
        <v>65</v>
      </c>
      <c r="B56" s="10" t="s">
        <v>271</v>
      </c>
      <c r="C56" s="10" t="s">
        <v>272</v>
      </c>
      <c r="D56" s="10" t="s">
        <v>273</v>
      </c>
      <c r="E56" s="10" t="str">
        <f>"0,6709"</f>
        <v>0,6709</v>
      </c>
      <c r="F56" s="10" t="s">
        <v>274</v>
      </c>
      <c r="G56" s="22" t="s">
        <v>37</v>
      </c>
      <c r="H56" s="22" t="s">
        <v>95</v>
      </c>
      <c r="I56" s="22" t="s">
        <v>96</v>
      </c>
      <c r="J56" s="11"/>
      <c r="K56" s="29" t="str">
        <f>"167,5"</f>
        <v>167,5</v>
      </c>
      <c r="L56" s="11" t="str">
        <f>"112,3757"</f>
        <v>112,3757</v>
      </c>
      <c r="M56" s="10" t="s">
        <v>53</v>
      </c>
    </row>
    <row r="57" spans="1:13" ht="12.75">
      <c r="A57" s="11" t="s">
        <v>66</v>
      </c>
      <c r="B57" s="10" t="s">
        <v>974</v>
      </c>
      <c r="C57" s="10" t="s">
        <v>975</v>
      </c>
      <c r="D57" s="10" t="s">
        <v>976</v>
      </c>
      <c r="E57" s="10" t="str">
        <f>"0,6779"</f>
        <v>0,6779</v>
      </c>
      <c r="F57" s="10" t="s">
        <v>130</v>
      </c>
      <c r="G57" s="23" t="s">
        <v>116</v>
      </c>
      <c r="H57" s="22" t="s">
        <v>116</v>
      </c>
      <c r="I57" s="23" t="s">
        <v>97</v>
      </c>
      <c r="J57" s="11"/>
      <c r="K57" s="29" t="str">
        <f>"165,0"</f>
        <v>165,0</v>
      </c>
      <c r="L57" s="11" t="str">
        <f>"111,8535"</f>
        <v>111,8535</v>
      </c>
      <c r="M57" s="10" t="s">
        <v>53</v>
      </c>
    </row>
    <row r="58" spans="1:13" ht="12.75">
      <c r="A58" s="11" t="s">
        <v>69</v>
      </c>
      <c r="B58" s="10" t="s">
        <v>977</v>
      </c>
      <c r="C58" s="10" t="s">
        <v>978</v>
      </c>
      <c r="D58" s="10" t="s">
        <v>165</v>
      </c>
      <c r="E58" s="10" t="str">
        <f>"0,6800"</f>
        <v>0,6800</v>
      </c>
      <c r="F58" s="10" t="s">
        <v>55</v>
      </c>
      <c r="G58" s="22" t="s">
        <v>36</v>
      </c>
      <c r="H58" s="22" t="s">
        <v>37</v>
      </c>
      <c r="I58" s="23" t="s">
        <v>116</v>
      </c>
      <c r="J58" s="11"/>
      <c r="K58" s="29" t="str">
        <f>"150,0"</f>
        <v>150,0</v>
      </c>
      <c r="L58" s="11" t="str">
        <f>"102,0000"</f>
        <v>102,0000</v>
      </c>
      <c r="M58" s="10" t="s">
        <v>53</v>
      </c>
    </row>
    <row r="59" spans="1:13" ht="12.75">
      <c r="A59" s="11" t="s">
        <v>175</v>
      </c>
      <c r="B59" s="10" t="s">
        <v>979</v>
      </c>
      <c r="C59" s="10" t="s">
        <v>980</v>
      </c>
      <c r="D59" s="10" t="s">
        <v>981</v>
      </c>
      <c r="E59" s="10" t="str">
        <f>"0,6843"</f>
        <v>0,6843</v>
      </c>
      <c r="F59" s="10" t="s">
        <v>161</v>
      </c>
      <c r="G59" s="22" t="s">
        <v>32</v>
      </c>
      <c r="H59" s="22" t="s">
        <v>61</v>
      </c>
      <c r="I59" s="23" t="s">
        <v>62</v>
      </c>
      <c r="J59" s="11"/>
      <c r="K59" s="29" t="str">
        <f>"120,0"</f>
        <v>120,0</v>
      </c>
      <c r="L59" s="11" t="str">
        <f>"82,1160"</f>
        <v>82,1160</v>
      </c>
      <c r="M59" s="10" t="s">
        <v>53</v>
      </c>
    </row>
    <row r="60" spans="1:13" ht="12.75">
      <c r="A60" s="11" t="s">
        <v>11</v>
      </c>
      <c r="B60" s="10" t="s">
        <v>982</v>
      </c>
      <c r="C60" s="10" t="s">
        <v>983</v>
      </c>
      <c r="D60" s="10" t="s">
        <v>984</v>
      </c>
      <c r="E60" s="10" t="str">
        <f>"0,6832"</f>
        <v>0,6832</v>
      </c>
      <c r="F60" s="10" t="s">
        <v>102</v>
      </c>
      <c r="G60" s="23" t="s">
        <v>117</v>
      </c>
      <c r="H60" s="23" t="s">
        <v>117</v>
      </c>
      <c r="I60" s="23" t="s">
        <v>117</v>
      </c>
      <c r="J60" s="11"/>
      <c r="K60" s="29">
        <v>0</v>
      </c>
      <c r="L60" s="11" t="str">
        <f>"0,0000"</f>
        <v>0,0000</v>
      </c>
      <c r="M60" s="10" t="s">
        <v>985</v>
      </c>
    </row>
    <row r="61" spans="1:13" ht="12.75">
      <c r="A61" s="11" t="s">
        <v>11</v>
      </c>
      <c r="B61" s="10" t="s">
        <v>986</v>
      </c>
      <c r="C61" s="10" t="s">
        <v>987</v>
      </c>
      <c r="D61" s="10" t="s">
        <v>966</v>
      </c>
      <c r="E61" s="10" t="str">
        <f>"0,6749"</f>
        <v>0,6749</v>
      </c>
      <c r="F61" s="41" t="s">
        <v>988</v>
      </c>
      <c r="G61" s="23" t="s">
        <v>37</v>
      </c>
      <c r="H61" s="23" t="s">
        <v>37</v>
      </c>
      <c r="I61" s="23" t="s">
        <v>37</v>
      </c>
      <c r="J61" s="11"/>
      <c r="K61" s="29">
        <v>0</v>
      </c>
      <c r="L61" s="11" t="str">
        <f>"0,0000"</f>
        <v>0,0000</v>
      </c>
      <c r="M61" s="10" t="s">
        <v>53</v>
      </c>
    </row>
    <row r="62" spans="1:13" ht="12.75">
      <c r="A62" s="11" t="s">
        <v>15</v>
      </c>
      <c r="B62" s="10" t="s">
        <v>655</v>
      </c>
      <c r="C62" s="10" t="s">
        <v>656</v>
      </c>
      <c r="D62" s="10" t="s">
        <v>607</v>
      </c>
      <c r="E62" s="10" t="str">
        <f>"0,6822"</f>
        <v>0,6822</v>
      </c>
      <c r="F62" s="10" t="s">
        <v>285</v>
      </c>
      <c r="G62" s="22" t="s">
        <v>95</v>
      </c>
      <c r="H62" s="23" t="s">
        <v>116</v>
      </c>
      <c r="I62" s="23" t="s">
        <v>116</v>
      </c>
      <c r="J62" s="11"/>
      <c r="K62" s="29" t="str">
        <f>"160,0"</f>
        <v>160,0</v>
      </c>
      <c r="L62" s="11" t="str">
        <f>"123,5601"</f>
        <v>123,5601</v>
      </c>
      <c r="M62" s="10" t="s">
        <v>53</v>
      </c>
    </row>
    <row r="63" spans="1:13" ht="12.75">
      <c r="A63" s="11" t="s">
        <v>15</v>
      </c>
      <c r="B63" s="10" t="s">
        <v>662</v>
      </c>
      <c r="C63" s="10" t="s">
        <v>663</v>
      </c>
      <c r="D63" s="10" t="s">
        <v>664</v>
      </c>
      <c r="E63" s="10" t="str">
        <f>"0,7080"</f>
        <v>0,7080</v>
      </c>
      <c r="F63" s="10" t="s">
        <v>142</v>
      </c>
      <c r="G63" s="22" t="s">
        <v>87</v>
      </c>
      <c r="H63" s="22" t="s">
        <v>63</v>
      </c>
      <c r="I63" s="23" t="s">
        <v>47</v>
      </c>
      <c r="J63" s="11"/>
      <c r="K63" s="29" t="str">
        <f>"130,0"</f>
        <v>130,0</v>
      </c>
      <c r="L63" s="11" t="str">
        <f>"119,3759"</f>
        <v>119,3759</v>
      </c>
      <c r="M63" s="10" t="s">
        <v>665</v>
      </c>
    </row>
    <row r="64" spans="1:13" ht="12.75">
      <c r="A64" s="13" t="s">
        <v>15</v>
      </c>
      <c r="B64" s="12" t="s">
        <v>989</v>
      </c>
      <c r="C64" s="12" t="s">
        <v>990</v>
      </c>
      <c r="D64" s="12" t="s">
        <v>168</v>
      </c>
      <c r="E64" s="12" t="str">
        <f>"0,6744"</f>
        <v>0,6744</v>
      </c>
      <c r="F64" s="12" t="s">
        <v>285</v>
      </c>
      <c r="G64" s="24" t="s">
        <v>19</v>
      </c>
      <c r="H64" s="24" t="s">
        <v>43</v>
      </c>
      <c r="I64" s="24" t="s">
        <v>23</v>
      </c>
      <c r="J64" s="13"/>
      <c r="K64" s="28" t="str">
        <f>"95,0"</f>
        <v>95,0</v>
      </c>
      <c r="L64" s="13" t="str">
        <f>"131,9801"</f>
        <v>131,9801</v>
      </c>
      <c r="M64" s="12" t="s">
        <v>53</v>
      </c>
    </row>
    <row r="65" ht="12.75">
      <c r="B65" s="4" t="s">
        <v>26</v>
      </c>
    </row>
    <row r="66" spans="1:10" ht="15">
      <c r="A66" s="45" t="s">
        <v>118</v>
      </c>
      <c r="B66" s="45"/>
      <c r="C66" s="45"/>
      <c r="D66" s="45"/>
      <c r="E66" s="45"/>
      <c r="F66" s="45"/>
      <c r="G66" s="45"/>
      <c r="H66" s="45"/>
      <c r="I66" s="45"/>
      <c r="J66" s="45"/>
    </row>
    <row r="67" spans="1:13" ht="12.75">
      <c r="A67" s="9" t="s">
        <v>15</v>
      </c>
      <c r="B67" s="8" t="s">
        <v>991</v>
      </c>
      <c r="C67" s="8" t="s">
        <v>992</v>
      </c>
      <c r="D67" s="8" t="s">
        <v>284</v>
      </c>
      <c r="E67" s="8" t="str">
        <f>"0,6459"</f>
        <v>0,6459</v>
      </c>
      <c r="F67" s="39" t="s">
        <v>993</v>
      </c>
      <c r="G67" s="20" t="s">
        <v>139</v>
      </c>
      <c r="H67" s="20" t="s">
        <v>150</v>
      </c>
      <c r="I67" s="21" t="s">
        <v>994</v>
      </c>
      <c r="J67" s="9"/>
      <c r="K67" s="27" t="str">
        <f>"207,5"</f>
        <v>207,5</v>
      </c>
      <c r="L67" s="9" t="str">
        <f>"134,0243"</f>
        <v>134,0243</v>
      </c>
      <c r="M67" s="8" t="s">
        <v>53</v>
      </c>
    </row>
    <row r="68" spans="1:13" ht="12.75">
      <c r="A68" s="11" t="s">
        <v>15</v>
      </c>
      <c r="B68" s="10" t="s">
        <v>995</v>
      </c>
      <c r="C68" s="10" t="s">
        <v>996</v>
      </c>
      <c r="D68" s="10" t="s">
        <v>189</v>
      </c>
      <c r="E68" s="10" t="str">
        <f>"0,6436"</f>
        <v>0,6436</v>
      </c>
      <c r="F68" s="10" t="s">
        <v>624</v>
      </c>
      <c r="G68" s="22" t="s">
        <v>132</v>
      </c>
      <c r="H68" s="22" t="s">
        <v>280</v>
      </c>
      <c r="I68" s="23" t="s">
        <v>213</v>
      </c>
      <c r="J68" s="11"/>
      <c r="K68" s="29" t="str">
        <f>"222,5"</f>
        <v>222,5</v>
      </c>
      <c r="L68" s="11" t="str">
        <f>"143,2010"</f>
        <v>143,2010</v>
      </c>
      <c r="M68" s="10" t="s">
        <v>497</v>
      </c>
    </row>
    <row r="69" spans="1:13" ht="12.75">
      <c r="A69" s="11" t="s">
        <v>39</v>
      </c>
      <c r="B69" s="10" t="s">
        <v>997</v>
      </c>
      <c r="C69" s="10" t="s">
        <v>998</v>
      </c>
      <c r="D69" s="10" t="s">
        <v>692</v>
      </c>
      <c r="E69" s="10" t="str">
        <f>"0,6440"</f>
        <v>0,6440</v>
      </c>
      <c r="F69" s="10" t="s">
        <v>749</v>
      </c>
      <c r="G69" s="23" t="s">
        <v>169</v>
      </c>
      <c r="H69" s="22" t="s">
        <v>132</v>
      </c>
      <c r="I69" s="23" t="s">
        <v>133</v>
      </c>
      <c r="J69" s="11"/>
      <c r="K69" s="29" t="str">
        <f>"210,0"</f>
        <v>210,0</v>
      </c>
      <c r="L69" s="11" t="str">
        <f>"135,2400"</f>
        <v>135,2400</v>
      </c>
      <c r="M69" s="10" t="s">
        <v>368</v>
      </c>
    </row>
    <row r="70" spans="1:13" ht="12.75">
      <c r="A70" s="11" t="s">
        <v>49</v>
      </c>
      <c r="B70" s="10" t="s">
        <v>999</v>
      </c>
      <c r="C70" s="10" t="s">
        <v>1000</v>
      </c>
      <c r="D70" s="10" t="s">
        <v>674</v>
      </c>
      <c r="E70" s="10" t="str">
        <f>"0,6388"</f>
        <v>0,6388</v>
      </c>
      <c r="F70" s="41" t="s">
        <v>1001</v>
      </c>
      <c r="G70" s="23" t="s">
        <v>128</v>
      </c>
      <c r="H70" s="23" t="s">
        <v>128</v>
      </c>
      <c r="I70" s="22" t="s">
        <v>128</v>
      </c>
      <c r="J70" s="11"/>
      <c r="K70" s="29" t="str">
        <f>"190,0"</f>
        <v>190,0</v>
      </c>
      <c r="L70" s="11" t="str">
        <f>"121,3720"</f>
        <v>121,3720</v>
      </c>
      <c r="M70" s="10" t="s">
        <v>53</v>
      </c>
    </row>
    <row r="71" spans="1:13" ht="12.75">
      <c r="A71" s="11" t="s">
        <v>65</v>
      </c>
      <c r="B71" s="10" t="s">
        <v>1002</v>
      </c>
      <c r="C71" s="10" t="s">
        <v>1003</v>
      </c>
      <c r="D71" s="10" t="s">
        <v>284</v>
      </c>
      <c r="E71" s="10" t="str">
        <f>"0,6459"</f>
        <v>0,6459</v>
      </c>
      <c r="F71" s="41" t="s">
        <v>1004</v>
      </c>
      <c r="G71" s="22" t="s">
        <v>120</v>
      </c>
      <c r="H71" s="22" t="s">
        <v>126</v>
      </c>
      <c r="I71" s="23" t="s">
        <v>123</v>
      </c>
      <c r="J71" s="11"/>
      <c r="K71" s="29" t="str">
        <f>"180,0"</f>
        <v>180,0</v>
      </c>
      <c r="L71" s="11" t="str">
        <f>"116,2620"</f>
        <v>116,2620</v>
      </c>
      <c r="M71" s="10" t="s">
        <v>53</v>
      </c>
    </row>
    <row r="72" spans="1:13" ht="12.75">
      <c r="A72" s="11" t="s">
        <v>66</v>
      </c>
      <c r="B72" s="10" t="s">
        <v>1005</v>
      </c>
      <c r="C72" s="10" t="s">
        <v>1006</v>
      </c>
      <c r="D72" s="10" t="s">
        <v>1007</v>
      </c>
      <c r="E72" s="10" t="str">
        <f>"0,6395"</f>
        <v>0,6395</v>
      </c>
      <c r="F72" s="41" t="s">
        <v>1008</v>
      </c>
      <c r="G72" s="22" t="s">
        <v>37</v>
      </c>
      <c r="H72" s="22" t="s">
        <v>38</v>
      </c>
      <c r="I72" s="22" t="s">
        <v>200</v>
      </c>
      <c r="J72" s="11"/>
      <c r="K72" s="29" t="str">
        <f>"162,5"</f>
        <v>162,5</v>
      </c>
      <c r="L72" s="11" t="str">
        <f>"103,9188"</f>
        <v>103,9188</v>
      </c>
      <c r="M72" s="10" t="s">
        <v>53</v>
      </c>
    </row>
    <row r="73" spans="1:13" ht="12.75">
      <c r="A73" s="11" t="s">
        <v>69</v>
      </c>
      <c r="B73" s="10" t="s">
        <v>1009</v>
      </c>
      <c r="C73" s="10" t="s">
        <v>1010</v>
      </c>
      <c r="D73" s="10" t="s">
        <v>337</v>
      </c>
      <c r="E73" s="10" t="str">
        <f>"0,6417"</f>
        <v>0,6417</v>
      </c>
      <c r="F73" s="10" t="s">
        <v>252</v>
      </c>
      <c r="G73" s="22" t="s">
        <v>37</v>
      </c>
      <c r="H73" s="23" t="s">
        <v>95</v>
      </c>
      <c r="I73" s="23" t="s">
        <v>95</v>
      </c>
      <c r="J73" s="11"/>
      <c r="K73" s="29" t="str">
        <f>"150,0"</f>
        <v>150,0</v>
      </c>
      <c r="L73" s="11" t="str">
        <f>"96,2550"</f>
        <v>96,2550</v>
      </c>
      <c r="M73" s="10" t="s">
        <v>1011</v>
      </c>
    </row>
    <row r="74" spans="1:13" ht="12.75">
      <c r="A74" s="11" t="s">
        <v>11</v>
      </c>
      <c r="B74" s="10" t="s">
        <v>1012</v>
      </c>
      <c r="C74" s="10" t="s">
        <v>1013</v>
      </c>
      <c r="D74" s="10" t="s">
        <v>357</v>
      </c>
      <c r="E74" s="10" t="str">
        <f>"0,6455"</f>
        <v>0,6455</v>
      </c>
      <c r="F74" s="10" t="s">
        <v>922</v>
      </c>
      <c r="G74" s="23" t="s">
        <v>117</v>
      </c>
      <c r="H74" s="23" t="s">
        <v>117</v>
      </c>
      <c r="I74" s="23" t="s">
        <v>117</v>
      </c>
      <c r="J74" s="11"/>
      <c r="K74" s="29">
        <v>0</v>
      </c>
      <c r="L74" s="11" t="str">
        <f>"0,0000"</f>
        <v>0,0000</v>
      </c>
      <c r="M74" s="10" t="s">
        <v>368</v>
      </c>
    </row>
    <row r="75" spans="1:13" ht="12.75">
      <c r="A75" s="11" t="s">
        <v>11</v>
      </c>
      <c r="B75" s="10" t="s">
        <v>1014</v>
      </c>
      <c r="C75" s="10" t="s">
        <v>1015</v>
      </c>
      <c r="D75" s="10" t="s">
        <v>337</v>
      </c>
      <c r="E75" s="10" t="str">
        <f>"0,6417"</f>
        <v>0,6417</v>
      </c>
      <c r="F75" s="10" t="s">
        <v>275</v>
      </c>
      <c r="G75" s="23" t="s">
        <v>95</v>
      </c>
      <c r="H75" s="23" t="s">
        <v>96</v>
      </c>
      <c r="I75" s="23" t="s">
        <v>96</v>
      </c>
      <c r="J75" s="11"/>
      <c r="K75" s="29">
        <v>0</v>
      </c>
      <c r="L75" s="11" t="str">
        <f>"0,0000"</f>
        <v>0,0000</v>
      </c>
      <c r="M75" s="10" t="s">
        <v>276</v>
      </c>
    </row>
    <row r="76" spans="1:13" ht="12.75">
      <c r="A76" s="11" t="s">
        <v>15</v>
      </c>
      <c r="B76" s="10" t="s">
        <v>1016</v>
      </c>
      <c r="C76" s="10" t="s">
        <v>1017</v>
      </c>
      <c r="D76" s="10" t="s">
        <v>284</v>
      </c>
      <c r="E76" s="10" t="str">
        <f>"0,6459"</f>
        <v>0,6459</v>
      </c>
      <c r="F76" s="10" t="s">
        <v>161</v>
      </c>
      <c r="G76" s="23" t="s">
        <v>120</v>
      </c>
      <c r="H76" s="22" t="s">
        <v>120</v>
      </c>
      <c r="I76" s="22" t="s">
        <v>159</v>
      </c>
      <c r="J76" s="11"/>
      <c r="K76" s="29" t="str">
        <f>"182,5"</f>
        <v>182,5</v>
      </c>
      <c r="L76" s="11" t="str">
        <f>"117,8768"</f>
        <v>117,8768</v>
      </c>
      <c r="M76" s="10" t="s">
        <v>53</v>
      </c>
    </row>
    <row r="77" spans="1:13" ht="12.75">
      <c r="A77" s="11" t="s">
        <v>39</v>
      </c>
      <c r="B77" s="10" t="s">
        <v>1018</v>
      </c>
      <c r="C77" s="10" t="s">
        <v>1019</v>
      </c>
      <c r="D77" s="10" t="s">
        <v>705</v>
      </c>
      <c r="E77" s="10" t="str">
        <f>"0,6463"</f>
        <v>0,6463</v>
      </c>
      <c r="F77" s="10" t="s">
        <v>55</v>
      </c>
      <c r="G77" s="22" t="s">
        <v>95</v>
      </c>
      <c r="H77" s="23" t="s">
        <v>117</v>
      </c>
      <c r="I77" s="23" t="s">
        <v>120</v>
      </c>
      <c r="J77" s="11"/>
      <c r="K77" s="29" t="str">
        <f>"160,0"</f>
        <v>160,0</v>
      </c>
      <c r="L77" s="11" t="str">
        <f>"111,4738"</f>
        <v>111,4738</v>
      </c>
      <c r="M77" s="10" t="s">
        <v>53</v>
      </c>
    </row>
    <row r="78" spans="1:13" ht="12.75">
      <c r="A78" s="11" t="s">
        <v>15</v>
      </c>
      <c r="B78" s="10" t="s">
        <v>359</v>
      </c>
      <c r="C78" s="10" t="s">
        <v>360</v>
      </c>
      <c r="D78" s="10" t="s">
        <v>361</v>
      </c>
      <c r="E78" s="10" t="str">
        <f>"0,6495"</f>
        <v>0,6495</v>
      </c>
      <c r="F78" s="10" t="s">
        <v>349</v>
      </c>
      <c r="G78" s="22" t="s">
        <v>36</v>
      </c>
      <c r="H78" s="22" t="s">
        <v>86</v>
      </c>
      <c r="I78" s="22" t="s">
        <v>95</v>
      </c>
      <c r="J78" s="11"/>
      <c r="K78" s="29" t="str">
        <f>"160,0"</f>
        <v>160,0</v>
      </c>
      <c r="L78" s="11" t="str">
        <f>"127,6138"</f>
        <v>127,6138</v>
      </c>
      <c r="M78" s="10" t="s">
        <v>53</v>
      </c>
    </row>
    <row r="79" spans="1:13" ht="12.75">
      <c r="A79" s="11" t="s">
        <v>11</v>
      </c>
      <c r="B79" s="10" t="s">
        <v>1020</v>
      </c>
      <c r="C79" s="10" t="s">
        <v>1021</v>
      </c>
      <c r="D79" s="10" t="s">
        <v>1022</v>
      </c>
      <c r="E79" s="10" t="str">
        <f>"0,6511"</f>
        <v>0,6511</v>
      </c>
      <c r="F79" s="10" t="s">
        <v>55</v>
      </c>
      <c r="G79" s="23" t="s">
        <v>116</v>
      </c>
      <c r="H79" s="11"/>
      <c r="I79" s="11"/>
      <c r="J79" s="11"/>
      <c r="K79" s="29">
        <v>0</v>
      </c>
      <c r="L79" s="11" t="str">
        <f>"0,0000"</f>
        <v>0,0000</v>
      </c>
      <c r="M79" s="10" t="s">
        <v>1023</v>
      </c>
    </row>
    <row r="80" spans="1:13" ht="12.75">
      <c r="A80" s="13" t="s">
        <v>15</v>
      </c>
      <c r="B80" s="12" t="s">
        <v>1024</v>
      </c>
      <c r="C80" s="12" t="s">
        <v>1025</v>
      </c>
      <c r="D80" s="12" t="s">
        <v>1026</v>
      </c>
      <c r="E80" s="12" t="str">
        <f>"0,6583"</f>
        <v>0,6583</v>
      </c>
      <c r="F80" s="40" t="s">
        <v>1027</v>
      </c>
      <c r="G80" s="24" t="s">
        <v>43</v>
      </c>
      <c r="H80" s="24" t="s">
        <v>60</v>
      </c>
      <c r="I80" s="24" t="s">
        <v>94</v>
      </c>
      <c r="J80" s="13"/>
      <c r="K80" s="28" t="str">
        <f>"107,5"</f>
        <v>107,5</v>
      </c>
      <c r="L80" s="13" t="str">
        <f>"97,6588"</f>
        <v>97,6588</v>
      </c>
      <c r="M80" s="12" t="s">
        <v>53</v>
      </c>
    </row>
    <row r="81" ht="12.75">
      <c r="B81" s="4" t="s">
        <v>26</v>
      </c>
    </row>
    <row r="82" spans="1:10" ht="15">
      <c r="A82" s="45" t="s">
        <v>190</v>
      </c>
      <c r="B82" s="45"/>
      <c r="C82" s="45"/>
      <c r="D82" s="45"/>
      <c r="E82" s="45"/>
      <c r="F82" s="45"/>
      <c r="G82" s="45"/>
      <c r="H82" s="45"/>
      <c r="I82" s="45"/>
      <c r="J82" s="45"/>
    </row>
    <row r="83" spans="1:13" ht="12.75">
      <c r="A83" s="9" t="s">
        <v>15</v>
      </c>
      <c r="B83" s="8" t="s">
        <v>1028</v>
      </c>
      <c r="C83" s="8" t="s">
        <v>1029</v>
      </c>
      <c r="D83" s="8" t="s">
        <v>1030</v>
      </c>
      <c r="E83" s="8" t="str">
        <f>"0,6200"</f>
        <v>0,6200</v>
      </c>
      <c r="F83" s="8" t="s">
        <v>127</v>
      </c>
      <c r="G83" s="20" t="s">
        <v>140</v>
      </c>
      <c r="H83" s="20" t="s">
        <v>173</v>
      </c>
      <c r="I83" s="20" t="s">
        <v>269</v>
      </c>
      <c r="J83" s="9"/>
      <c r="K83" s="27" t="str">
        <f>"242,5"</f>
        <v>242,5</v>
      </c>
      <c r="L83" s="9" t="str">
        <f>"150,3500"</f>
        <v>150,3500</v>
      </c>
      <c r="M83" s="8" t="s">
        <v>1031</v>
      </c>
    </row>
    <row r="84" spans="1:13" ht="12.75">
      <c r="A84" s="11" t="s">
        <v>39</v>
      </c>
      <c r="B84" s="10" t="s">
        <v>1032</v>
      </c>
      <c r="C84" s="10" t="s">
        <v>1033</v>
      </c>
      <c r="D84" s="10" t="s">
        <v>364</v>
      </c>
      <c r="E84" s="10" t="str">
        <f>"0,6163"</f>
        <v>0,6163</v>
      </c>
      <c r="F84" s="10" t="s">
        <v>339</v>
      </c>
      <c r="G84" s="22" t="s">
        <v>124</v>
      </c>
      <c r="H84" s="22" t="s">
        <v>133</v>
      </c>
      <c r="I84" s="23" t="s">
        <v>134</v>
      </c>
      <c r="J84" s="11"/>
      <c r="K84" s="29" t="str">
        <f>"215,0"</f>
        <v>215,0</v>
      </c>
      <c r="L84" s="11" t="str">
        <f>"132,5045"</f>
        <v>132,5045</v>
      </c>
      <c r="M84" s="10" t="s">
        <v>1034</v>
      </c>
    </row>
    <row r="85" spans="1:13" ht="12.75">
      <c r="A85" s="11" t="s">
        <v>49</v>
      </c>
      <c r="B85" s="10" t="s">
        <v>1035</v>
      </c>
      <c r="C85" s="10" t="s">
        <v>1036</v>
      </c>
      <c r="D85" s="10" t="s">
        <v>295</v>
      </c>
      <c r="E85" s="10" t="str">
        <f>"0,6093"</f>
        <v>0,6093</v>
      </c>
      <c r="F85" s="10" t="s">
        <v>55</v>
      </c>
      <c r="G85" s="22" t="s">
        <v>123</v>
      </c>
      <c r="H85" s="22" t="s">
        <v>125</v>
      </c>
      <c r="I85" s="22" t="s">
        <v>150</v>
      </c>
      <c r="J85" s="11"/>
      <c r="K85" s="29" t="str">
        <f>"207,5"</f>
        <v>207,5</v>
      </c>
      <c r="L85" s="11" t="str">
        <f>"126,4298"</f>
        <v>126,4298</v>
      </c>
      <c r="M85" s="10" t="s">
        <v>53</v>
      </c>
    </row>
    <row r="86" spans="1:13" ht="12.75">
      <c r="A86" s="11" t="s">
        <v>65</v>
      </c>
      <c r="B86" s="10" t="s">
        <v>362</v>
      </c>
      <c r="C86" s="10" t="s">
        <v>363</v>
      </c>
      <c r="D86" s="10" t="s">
        <v>197</v>
      </c>
      <c r="E86" s="10" t="str">
        <f>"0,6116"</f>
        <v>0,6116</v>
      </c>
      <c r="F86" s="10" t="s">
        <v>41</v>
      </c>
      <c r="G86" s="22" t="s">
        <v>128</v>
      </c>
      <c r="H86" s="22" t="s">
        <v>125</v>
      </c>
      <c r="I86" s="23" t="s">
        <v>150</v>
      </c>
      <c r="J86" s="11"/>
      <c r="K86" s="29" t="str">
        <f>"200,0"</f>
        <v>200,0</v>
      </c>
      <c r="L86" s="11" t="str">
        <f>"122,3200"</f>
        <v>122,3200</v>
      </c>
      <c r="M86" s="10" t="s">
        <v>53</v>
      </c>
    </row>
    <row r="87" spans="1:13" ht="12.75">
      <c r="A87" s="11" t="s">
        <v>66</v>
      </c>
      <c r="B87" s="10" t="s">
        <v>1037</v>
      </c>
      <c r="C87" s="10" t="s">
        <v>1038</v>
      </c>
      <c r="D87" s="10" t="s">
        <v>193</v>
      </c>
      <c r="E87" s="10" t="str">
        <f>"0,6139"</f>
        <v>0,6139</v>
      </c>
      <c r="F87" s="41" t="s">
        <v>1039</v>
      </c>
      <c r="G87" s="22" t="s">
        <v>128</v>
      </c>
      <c r="H87" s="22" t="s">
        <v>149</v>
      </c>
      <c r="I87" s="23" t="s">
        <v>139</v>
      </c>
      <c r="J87" s="11"/>
      <c r="K87" s="29" t="str">
        <f>"197,5"</f>
        <v>197,5</v>
      </c>
      <c r="L87" s="11" t="str">
        <f>"121,2453"</f>
        <v>121,2453</v>
      </c>
      <c r="M87" s="10" t="s">
        <v>53</v>
      </c>
    </row>
    <row r="88" spans="1:13" ht="12.75">
      <c r="A88" s="11" t="s">
        <v>69</v>
      </c>
      <c r="B88" s="10" t="s">
        <v>1040</v>
      </c>
      <c r="C88" s="10" t="s">
        <v>1041</v>
      </c>
      <c r="D88" s="10" t="s">
        <v>776</v>
      </c>
      <c r="E88" s="10" t="str">
        <f>"0,6103"</f>
        <v>0,6103</v>
      </c>
      <c r="F88" s="10" t="s">
        <v>55</v>
      </c>
      <c r="G88" s="23" t="s">
        <v>124</v>
      </c>
      <c r="H88" s="22" t="s">
        <v>124</v>
      </c>
      <c r="I88" s="23" t="s">
        <v>139</v>
      </c>
      <c r="J88" s="11"/>
      <c r="K88" s="29" t="str">
        <f>"195,0"</f>
        <v>195,0</v>
      </c>
      <c r="L88" s="11" t="str">
        <f>"119,0085"</f>
        <v>119,0085</v>
      </c>
      <c r="M88" s="10" t="s">
        <v>53</v>
      </c>
    </row>
    <row r="89" spans="1:13" ht="12.75">
      <c r="A89" s="11" t="s">
        <v>175</v>
      </c>
      <c r="B89" s="10" t="s">
        <v>1042</v>
      </c>
      <c r="C89" s="10" t="s">
        <v>1043</v>
      </c>
      <c r="D89" s="10" t="s">
        <v>289</v>
      </c>
      <c r="E89" s="10" t="str">
        <f>"0,6136"</f>
        <v>0,6136</v>
      </c>
      <c r="F89" s="41" t="s">
        <v>1044</v>
      </c>
      <c r="G89" s="23" t="s">
        <v>123</v>
      </c>
      <c r="H89" s="23" t="s">
        <v>123</v>
      </c>
      <c r="I89" s="22" t="s">
        <v>123</v>
      </c>
      <c r="J89" s="11"/>
      <c r="K89" s="29" t="str">
        <f>"185,0"</f>
        <v>185,0</v>
      </c>
      <c r="L89" s="11" t="str">
        <f>"113,5160"</f>
        <v>113,5160</v>
      </c>
      <c r="M89" s="10" t="s">
        <v>53</v>
      </c>
    </row>
    <row r="90" spans="1:13" ht="12.75">
      <c r="A90" s="11" t="s">
        <v>187</v>
      </c>
      <c r="B90" s="10" t="s">
        <v>1045</v>
      </c>
      <c r="C90" s="10" t="s">
        <v>1046</v>
      </c>
      <c r="D90" s="10" t="s">
        <v>191</v>
      </c>
      <c r="E90" s="10" t="str">
        <f>"0,6108"</f>
        <v>0,6108</v>
      </c>
      <c r="F90" s="10" t="s">
        <v>55</v>
      </c>
      <c r="G90" s="22" t="s">
        <v>120</v>
      </c>
      <c r="H90" s="23" t="s">
        <v>123</v>
      </c>
      <c r="I90" s="22" t="s">
        <v>123</v>
      </c>
      <c r="J90" s="11"/>
      <c r="K90" s="29" t="str">
        <f>"185,0"</f>
        <v>185,0</v>
      </c>
      <c r="L90" s="11" t="str">
        <f>"112,9980"</f>
        <v>112,9980</v>
      </c>
      <c r="M90" s="10" t="s">
        <v>53</v>
      </c>
    </row>
    <row r="91" spans="1:13" ht="12.75">
      <c r="A91" s="11" t="s">
        <v>298</v>
      </c>
      <c r="B91" s="10" t="s">
        <v>1047</v>
      </c>
      <c r="C91" s="10" t="s">
        <v>1048</v>
      </c>
      <c r="D91" s="10" t="s">
        <v>291</v>
      </c>
      <c r="E91" s="10" t="str">
        <f>"0,6101"</f>
        <v>0,6101</v>
      </c>
      <c r="F91" s="10" t="s">
        <v>166</v>
      </c>
      <c r="G91" s="23" t="s">
        <v>126</v>
      </c>
      <c r="H91" s="22" t="s">
        <v>126</v>
      </c>
      <c r="I91" s="23" t="s">
        <v>123</v>
      </c>
      <c r="J91" s="11"/>
      <c r="K91" s="29" t="str">
        <f>"180,0"</f>
        <v>180,0</v>
      </c>
      <c r="L91" s="11" t="str">
        <f>"109,8180"</f>
        <v>109,8180</v>
      </c>
      <c r="M91" s="10" t="s">
        <v>53</v>
      </c>
    </row>
    <row r="92" spans="1:13" ht="12.75">
      <c r="A92" s="11" t="s">
        <v>300</v>
      </c>
      <c r="B92" s="10" t="s">
        <v>1049</v>
      </c>
      <c r="C92" s="10" t="s">
        <v>1050</v>
      </c>
      <c r="D92" s="10" t="s">
        <v>297</v>
      </c>
      <c r="E92" s="10" t="str">
        <f>"0,6226"</f>
        <v>0,6226</v>
      </c>
      <c r="F92" s="10" t="s">
        <v>262</v>
      </c>
      <c r="G92" s="23" t="s">
        <v>117</v>
      </c>
      <c r="H92" s="22" t="s">
        <v>117</v>
      </c>
      <c r="I92" s="22" t="s">
        <v>120</v>
      </c>
      <c r="J92" s="11"/>
      <c r="K92" s="29" t="str">
        <f>"175,0"</f>
        <v>175,0</v>
      </c>
      <c r="L92" s="11" t="str">
        <f>"108,9550"</f>
        <v>108,9550</v>
      </c>
      <c r="M92" s="10" t="s">
        <v>53</v>
      </c>
    </row>
    <row r="93" spans="1:13" ht="12.75">
      <c r="A93" s="11" t="s">
        <v>717</v>
      </c>
      <c r="B93" s="10" t="s">
        <v>1051</v>
      </c>
      <c r="C93" s="10" t="s">
        <v>1052</v>
      </c>
      <c r="D93" s="10" t="s">
        <v>295</v>
      </c>
      <c r="E93" s="10" t="str">
        <f>"0,6093"</f>
        <v>0,6093</v>
      </c>
      <c r="F93" s="10" t="s">
        <v>55</v>
      </c>
      <c r="G93" s="22" t="s">
        <v>86</v>
      </c>
      <c r="H93" s="22" t="s">
        <v>95</v>
      </c>
      <c r="I93" s="22" t="s">
        <v>96</v>
      </c>
      <c r="J93" s="11"/>
      <c r="K93" s="29" t="str">
        <f>"167,5"</f>
        <v>167,5</v>
      </c>
      <c r="L93" s="11" t="str">
        <f>"102,0578"</f>
        <v>102,0578</v>
      </c>
      <c r="M93" s="10" t="s">
        <v>1053</v>
      </c>
    </row>
    <row r="94" spans="1:13" ht="12.75">
      <c r="A94" s="11" t="s">
        <v>721</v>
      </c>
      <c r="B94" s="10" t="s">
        <v>1054</v>
      </c>
      <c r="C94" s="10" t="s">
        <v>1055</v>
      </c>
      <c r="D94" s="10" t="s">
        <v>1056</v>
      </c>
      <c r="E94" s="10" t="str">
        <f>"0,6209"</f>
        <v>0,6209</v>
      </c>
      <c r="F94" s="10" t="s">
        <v>130</v>
      </c>
      <c r="G94" s="22" t="s">
        <v>95</v>
      </c>
      <c r="H94" s="22" t="s">
        <v>116</v>
      </c>
      <c r="I94" s="23" t="s">
        <v>117</v>
      </c>
      <c r="J94" s="11"/>
      <c r="K94" s="29" t="str">
        <f>"165,0"</f>
        <v>165,0</v>
      </c>
      <c r="L94" s="11" t="str">
        <f>"102,4485"</f>
        <v>102,4485</v>
      </c>
      <c r="M94" s="10" t="s">
        <v>53</v>
      </c>
    </row>
    <row r="95" spans="1:13" ht="12.75">
      <c r="A95" s="11" t="s">
        <v>11</v>
      </c>
      <c r="B95" s="10" t="s">
        <v>1057</v>
      </c>
      <c r="C95" s="10" t="s">
        <v>1058</v>
      </c>
      <c r="D95" s="10" t="s">
        <v>1059</v>
      </c>
      <c r="E95" s="10" t="str">
        <f>"0,6214"</f>
        <v>0,6214</v>
      </c>
      <c r="F95" s="10" t="s">
        <v>59</v>
      </c>
      <c r="G95" s="23" t="s">
        <v>159</v>
      </c>
      <c r="H95" s="23" t="s">
        <v>159</v>
      </c>
      <c r="I95" s="11"/>
      <c r="J95" s="11"/>
      <c r="K95" s="29">
        <v>0</v>
      </c>
      <c r="L95" s="11" t="str">
        <f>"0,0000"</f>
        <v>0,0000</v>
      </c>
      <c r="M95" s="10" t="s">
        <v>53</v>
      </c>
    </row>
    <row r="96" spans="1:13" ht="12.75">
      <c r="A96" s="11" t="s">
        <v>11</v>
      </c>
      <c r="B96" s="10" t="s">
        <v>1060</v>
      </c>
      <c r="C96" s="10" t="s">
        <v>1061</v>
      </c>
      <c r="D96" s="10" t="s">
        <v>1062</v>
      </c>
      <c r="E96" s="10" t="str">
        <f>"0,6172"</f>
        <v>0,6172</v>
      </c>
      <c r="F96" s="41" t="s">
        <v>1063</v>
      </c>
      <c r="G96" s="23" t="s">
        <v>147</v>
      </c>
      <c r="H96" s="23" t="s">
        <v>147</v>
      </c>
      <c r="I96" s="23" t="s">
        <v>144</v>
      </c>
      <c r="J96" s="11"/>
      <c r="K96" s="29">
        <v>0</v>
      </c>
      <c r="L96" s="11" t="str">
        <f>"0,0000"</f>
        <v>0,0000</v>
      </c>
      <c r="M96" s="10" t="s">
        <v>53</v>
      </c>
    </row>
    <row r="97" spans="1:13" ht="12.75">
      <c r="A97" s="11" t="s">
        <v>15</v>
      </c>
      <c r="B97" s="10" t="s">
        <v>1064</v>
      </c>
      <c r="C97" s="10" t="s">
        <v>1065</v>
      </c>
      <c r="D97" s="10" t="s">
        <v>1066</v>
      </c>
      <c r="E97" s="10" t="str">
        <f>"0,6223"</f>
        <v>0,6223</v>
      </c>
      <c r="F97" s="10" t="s">
        <v>252</v>
      </c>
      <c r="G97" s="22" t="s">
        <v>126</v>
      </c>
      <c r="H97" s="22" t="s">
        <v>128</v>
      </c>
      <c r="I97" s="22" t="s">
        <v>149</v>
      </c>
      <c r="J97" s="11"/>
      <c r="K97" s="29" t="str">
        <f>"197,5"</f>
        <v>197,5</v>
      </c>
      <c r="L97" s="11" t="str">
        <f>"122,9043"</f>
        <v>122,9043</v>
      </c>
      <c r="M97" s="10" t="s">
        <v>1067</v>
      </c>
    </row>
    <row r="98" spans="1:13" ht="12.75">
      <c r="A98" s="11" t="s">
        <v>39</v>
      </c>
      <c r="B98" s="10" t="s">
        <v>1037</v>
      </c>
      <c r="C98" s="10" t="s">
        <v>1068</v>
      </c>
      <c r="D98" s="10" t="s">
        <v>193</v>
      </c>
      <c r="E98" s="10" t="str">
        <f>"0,6139"</f>
        <v>0,6139</v>
      </c>
      <c r="F98" s="10" t="s">
        <v>1039</v>
      </c>
      <c r="G98" s="22" t="s">
        <v>128</v>
      </c>
      <c r="H98" s="22" t="s">
        <v>149</v>
      </c>
      <c r="I98" s="23" t="s">
        <v>139</v>
      </c>
      <c r="J98" s="11"/>
      <c r="K98" s="29" t="str">
        <f>"197,5"</f>
        <v>197,5</v>
      </c>
      <c r="L98" s="11" t="str">
        <f>"130,7024"</f>
        <v>130,7024</v>
      </c>
      <c r="M98" s="10" t="s">
        <v>53</v>
      </c>
    </row>
    <row r="99" spans="1:13" ht="12.75">
      <c r="A99" s="11" t="s">
        <v>49</v>
      </c>
      <c r="B99" s="10" t="s">
        <v>1069</v>
      </c>
      <c r="C99" s="10" t="s">
        <v>1070</v>
      </c>
      <c r="D99" s="10" t="s">
        <v>1066</v>
      </c>
      <c r="E99" s="10" t="str">
        <f>"0,6223"</f>
        <v>0,6223</v>
      </c>
      <c r="F99" s="10" t="s">
        <v>89</v>
      </c>
      <c r="G99" s="22" t="s">
        <v>36</v>
      </c>
      <c r="H99" s="23" t="s">
        <v>37</v>
      </c>
      <c r="I99" s="22" t="s">
        <v>37</v>
      </c>
      <c r="J99" s="11"/>
      <c r="K99" s="29" t="str">
        <f>"150,0"</f>
        <v>150,0</v>
      </c>
      <c r="L99" s="11" t="str">
        <f>"103,9863"</f>
        <v>103,9863</v>
      </c>
      <c r="M99" s="10" t="s">
        <v>53</v>
      </c>
    </row>
    <row r="100" spans="1:13" ht="12.75">
      <c r="A100" s="11" t="s">
        <v>15</v>
      </c>
      <c r="B100" s="10" t="s">
        <v>1071</v>
      </c>
      <c r="C100" s="10" t="s">
        <v>1072</v>
      </c>
      <c r="D100" s="10" t="s">
        <v>191</v>
      </c>
      <c r="E100" s="10" t="str">
        <f>"0,6108"</f>
        <v>0,6108</v>
      </c>
      <c r="F100" s="10" t="s">
        <v>64</v>
      </c>
      <c r="G100" s="22" t="s">
        <v>132</v>
      </c>
      <c r="H100" s="22" t="s">
        <v>143</v>
      </c>
      <c r="I100" s="23" t="s">
        <v>280</v>
      </c>
      <c r="J100" s="11"/>
      <c r="K100" s="29" t="str">
        <f>"217,5"</f>
        <v>217,5</v>
      </c>
      <c r="L100" s="11" t="str">
        <f>"163,1386"</f>
        <v>163,1386</v>
      </c>
      <c r="M100" s="10" t="s">
        <v>53</v>
      </c>
    </row>
    <row r="101" spans="1:13" ht="12.75">
      <c r="A101" s="11" t="s">
        <v>11</v>
      </c>
      <c r="B101" s="10" t="s">
        <v>1073</v>
      </c>
      <c r="C101" s="10" t="s">
        <v>1074</v>
      </c>
      <c r="D101" s="10" t="s">
        <v>1075</v>
      </c>
      <c r="E101" s="10" t="str">
        <f>"0,6121"</f>
        <v>0,6121</v>
      </c>
      <c r="F101" s="10" t="s">
        <v>55</v>
      </c>
      <c r="G101" s="23" t="s">
        <v>120</v>
      </c>
      <c r="H101" s="23" t="s">
        <v>120</v>
      </c>
      <c r="I101" s="23" t="s">
        <v>120</v>
      </c>
      <c r="J101" s="11"/>
      <c r="K101" s="29">
        <v>0</v>
      </c>
      <c r="L101" s="11" t="str">
        <f>"0,0000"</f>
        <v>0,0000</v>
      </c>
      <c r="M101" s="10" t="s">
        <v>53</v>
      </c>
    </row>
    <row r="102" spans="1:13" ht="12.75">
      <c r="A102" s="11" t="s">
        <v>15</v>
      </c>
      <c r="B102" s="10" t="s">
        <v>1076</v>
      </c>
      <c r="C102" s="10" t="s">
        <v>1077</v>
      </c>
      <c r="D102" s="10" t="s">
        <v>286</v>
      </c>
      <c r="E102" s="10" t="str">
        <f>"0,6126"</f>
        <v>0,6126</v>
      </c>
      <c r="F102" s="10" t="s">
        <v>1078</v>
      </c>
      <c r="G102" s="22" t="s">
        <v>36</v>
      </c>
      <c r="H102" s="22" t="s">
        <v>38</v>
      </c>
      <c r="I102" s="22" t="s">
        <v>200</v>
      </c>
      <c r="J102" s="11"/>
      <c r="K102" s="29" t="str">
        <f>"162,5"</f>
        <v>162,5</v>
      </c>
      <c r="L102" s="11" t="str">
        <f>"140,3620"</f>
        <v>140,3620</v>
      </c>
      <c r="M102" s="10" t="s">
        <v>911</v>
      </c>
    </row>
    <row r="103" spans="1:13" ht="12.75">
      <c r="A103" s="13" t="s">
        <v>39</v>
      </c>
      <c r="B103" s="12" t="s">
        <v>797</v>
      </c>
      <c r="C103" s="12" t="s">
        <v>798</v>
      </c>
      <c r="D103" s="12" t="s">
        <v>748</v>
      </c>
      <c r="E103" s="12" t="str">
        <f>"0,6331"</f>
        <v>0,6331</v>
      </c>
      <c r="F103" s="12" t="s">
        <v>799</v>
      </c>
      <c r="G103" s="24" t="s">
        <v>80</v>
      </c>
      <c r="H103" s="24" t="s">
        <v>48</v>
      </c>
      <c r="I103" s="24" t="s">
        <v>37</v>
      </c>
      <c r="J103" s="13"/>
      <c r="K103" s="28" t="str">
        <f>"150,0"</f>
        <v>150,0</v>
      </c>
      <c r="L103" s="13" t="str">
        <f>"142,5425"</f>
        <v>142,5425</v>
      </c>
      <c r="M103" s="12" t="s">
        <v>53</v>
      </c>
    </row>
    <row r="104" ht="12.75">
      <c r="B104" s="4" t="s">
        <v>26</v>
      </c>
    </row>
    <row r="105" spans="1:10" ht="15">
      <c r="A105" s="45" t="s">
        <v>201</v>
      </c>
      <c r="B105" s="45"/>
      <c r="C105" s="45"/>
      <c r="D105" s="45"/>
      <c r="E105" s="45"/>
      <c r="F105" s="45"/>
      <c r="G105" s="45"/>
      <c r="H105" s="45"/>
      <c r="I105" s="45"/>
      <c r="J105" s="45"/>
    </row>
    <row r="106" spans="1:13" ht="12.75">
      <c r="A106" s="9" t="s">
        <v>15</v>
      </c>
      <c r="B106" s="8" t="s">
        <v>1079</v>
      </c>
      <c r="C106" s="8" t="s">
        <v>1080</v>
      </c>
      <c r="D106" s="8" t="s">
        <v>1081</v>
      </c>
      <c r="E106" s="8" t="str">
        <f>"0,5921"</f>
        <v>0,5921</v>
      </c>
      <c r="F106" s="8" t="s">
        <v>59</v>
      </c>
      <c r="G106" s="20" t="s">
        <v>136</v>
      </c>
      <c r="H106" s="9"/>
      <c r="I106" s="9"/>
      <c r="J106" s="9"/>
      <c r="K106" s="27" t="str">
        <f>"250,0"</f>
        <v>250,0</v>
      </c>
      <c r="L106" s="9" t="str">
        <f>"148,0250"</f>
        <v>148,0250</v>
      </c>
      <c r="M106" s="8" t="s">
        <v>53</v>
      </c>
    </row>
    <row r="107" spans="1:13" ht="12.75">
      <c r="A107" s="11" t="s">
        <v>39</v>
      </c>
      <c r="B107" s="10" t="s">
        <v>1082</v>
      </c>
      <c r="C107" s="10" t="s">
        <v>1083</v>
      </c>
      <c r="D107" s="10" t="s">
        <v>1084</v>
      </c>
      <c r="E107" s="10" t="str">
        <f>"0,6046"</f>
        <v>0,6046</v>
      </c>
      <c r="F107" s="41" t="s">
        <v>1085</v>
      </c>
      <c r="G107" s="22" t="s">
        <v>134</v>
      </c>
      <c r="H107" s="22" t="s">
        <v>182</v>
      </c>
      <c r="I107" s="22" t="s">
        <v>147</v>
      </c>
      <c r="J107" s="11"/>
      <c r="K107" s="29" t="str">
        <f>"240,0"</f>
        <v>240,0</v>
      </c>
      <c r="L107" s="11" t="str">
        <f>"145,1040"</f>
        <v>145,1040</v>
      </c>
      <c r="M107" s="10" t="s">
        <v>53</v>
      </c>
    </row>
    <row r="108" spans="1:13" ht="12.75">
      <c r="A108" s="11" t="s">
        <v>49</v>
      </c>
      <c r="B108" s="10" t="s">
        <v>370</v>
      </c>
      <c r="C108" s="10" t="s">
        <v>371</v>
      </c>
      <c r="D108" s="10" t="s">
        <v>372</v>
      </c>
      <c r="E108" s="10" t="str">
        <f>"0,5941"</f>
        <v>0,5941</v>
      </c>
      <c r="F108" s="10" t="s">
        <v>373</v>
      </c>
      <c r="G108" s="22" t="s">
        <v>134</v>
      </c>
      <c r="H108" s="22" t="s">
        <v>140</v>
      </c>
      <c r="I108" s="23" t="s">
        <v>147</v>
      </c>
      <c r="J108" s="11"/>
      <c r="K108" s="29" t="str">
        <f>"230,0"</f>
        <v>230,0</v>
      </c>
      <c r="L108" s="11" t="str">
        <f>"136,6430"</f>
        <v>136,6430</v>
      </c>
      <c r="M108" s="10" t="s">
        <v>374</v>
      </c>
    </row>
    <row r="109" spans="1:13" ht="12.75">
      <c r="A109" s="11" t="s">
        <v>65</v>
      </c>
      <c r="B109" s="10" t="s">
        <v>1086</v>
      </c>
      <c r="C109" s="10" t="s">
        <v>1087</v>
      </c>
      <c r="D109" s="10" t="s">
        <v>1088</v>
      </c>
      <c r="E109" s="10" t="str">
        <f>"0,5948"</f>
        <v>0,5948</v>
      </c>
      <c r="F109" s="10" t="s">
        <v>339</v>
      </c>
      <c r="G109" s="22" t="s">
        <v>133</v>
      </c>
      <c r="H109" s="22" t="s">
        <v>146</v>
      </c>
      <c r="I109" s="23" t="s">
        <v>140</v>
      </c>
      <c r="J109" s="11"/>
      <c r="K109" s="29" t="str">
        <f>"225,0"</f>
        <v>225,0</v>
      </c>
      <c r="L109" s="11" t="str">
        <f>"133,8300"</f>
        <v>133,8300</v>
      </c>
      <c r="M109" s="10" t="s">
        <v>1089</v>
      </c>
    </row>
    <row r="110" spans="1:13" ht="12.75">
      <c r="A110" s="11" t="s">
        <v>66</v>
      </c>
      <c r="B110" s="10" t="s">
        <v>306</v>
      </c>
      <c r="C110" s="10" t="s">
        <v>307</v>
      </c>
      <c r="D110" s="10" t="s">
        <v>308</v>
      </c>
      <c r="E110" s="10" t="str">
        <f>"0,5902"</f>
        <v>0,5902</v>
      </c>
      <c r="F110" s="10" t="s">
        <v>55</v>
      </c>
      <c r="G110" s="22" t="s">
        <v>133</v>
      </c>
      <c r="H110" s="23" t="s">
        <v>134</v>
      </c>
      <c r="I110" s="23" t="s">
        <v>134</v>
      </c>
      <c r="J110" s="11"/>
      <c r="K110" s="29" t="str">
        <f>"215,0"</f>
        <v>215,0</v>
      </c>
      <c r="L110" s="11" t="str">
        <f>"126,8930"</f>
        <v>126,8930</v>
      </c>
      <c r="M110" s="10" t="s">
        <v>309</v>
      </c>
    </row>
    <row r="111" spans="1:13" ht="12.75">
      <c r="A111" s="11" t="s">
        <v>69</v>
      </c>
      <c r="B111" s="10" t="s">
        <v>1090</v>
      </c>
      <c r="C111" s="10" t="s">
        <v>1091</v>
      </c>
      <c r="D111" s="10" t="s">
        <v>206</v>
      </c>
      <c r="E111" s="10" t="str">
        <f>"0,5992"</f>
        <v>0,5992</v>
      </c>
      <c r="F111" s="10" t="s">
        <v>55</v>
      </c>
      <c r="G111" s="22" t="s">
        <v>123</v>
      </c>
      <c r="H111" s="22" t="s">
        <v>148</v>
      </c>
      <c r="I111" s="22" t="s">
        <v>149</v>
      </c>
      <c r="J111" s="11"/>
      <c r="K111" s="29" t="str">
        <f>"197,5"</f>
        <v>197,5</v>
      </c>
      <c r="L111" s="11" t="str">
        <f>"118,3420"</f>
        <v>118,3420</v>
      </c>
      <c r="M111" s="10" t="s">
        <v>53</v>
      </c>
    </row>
    <row r="112" spans="1:13" ht="12.75">
      <c r="A112" s="11" t="s">
        <v>175</v>
      </c>
      <c r="B112" s="10" t="s">
        <v>1092</v>
      </c>
      <c r="C112" s="10" t="s">
        <v>1093</v>
      </c>
      <c r="D112" s="10" t="s">
        <v>1094</v>
      </c>
      <c r="E112" s="10" t="str">
        <f>"0,5909"</f>
        <v>0,5909</v>
      </c>
      <c r="F112" s="10" t="s">
        <v>55</v>
      </c>
      <c r="G112" s="22" t="s">
        <v>123</v>
      </c>
      <c r="H112" s="22" t="s">
        <v>124</v>
      </c>
      <c r="I112" s="23" t="s">
        <v>139</v>
      </c>
      <c r="J112" s="11"/>
      <c r="K112" s="29" t="str">
        <f>"195,0"</f>
        <v>195,0</v>
      </c>
      <c r="L112" s="11" t="str">
        <f>"115,2255"</f>
        <v>115,2255</v>
      </c>
      <c r="M112" s="10" t="s">
        <v>590</v>
      </c>
    </row>
    <row r="113" spans="1:13" ht="12.75">
      <c r="A113" s="11" t="s">
        <v>187</v>
      </c>
      <c r="B113" s="10" t="s">
        <v>310</v>
      </c>
      <c r="C113" s="10" t="s">
        <v>311</v>
      </c>
      <c r="D113" s="10" t="s">
        <v>205</v>
      </c>
      <c r="E113" s="10" t="str">
        <f>"0,5912"</f>
        <v>0,5912</v>
      </c>
      <c r="F113" s="10" t="s">
        <v>262</v>
      </c>
      <c r="G113" s="22" t="s">
        <v>126</v>
      </c>
      <c r="H113" s="22" t="s">
        <v>148</v>
      </c>
      <c r="I113" s="23" t="s">
        <v>169</v>
      </c>
      <c r="J113" s="11"/>
      <c r="K113" s="29" t="str">
        <f>"192,5"</f>
        <v>192,5</v>
      </c>
      <c r="L113" s="11" t="str">
        <f>"113,8060"</f>
        <v>113,8060</v>
      </c>
      <c r="M113" s="10" t="s">
        <v>263</v>
      </c>
    </row>
    <row r="114" spans="1:13" ht="12.75">
      <c r="A114" s="11" t="s">
        <v>298</v>
      </c>
      <c r="B114" s="10" t="s">
        <v>1095</v>
      </c>
      <c r="C114" s="10" t="s">
        <v>1096</v>
      </c>
      <c r="D114" s="10" t="s">
        <v>1094</v>
      </c>
      <c r="E114" s="10" t="str">
        <f>"0,5909"</f>
        <v>0,5909</v>
      </c>
      <c r="F114" s="10" t="s">
        <v>55</v>
      </c>
      <c r="G114" s="23" t="s">
        <v>148</v>
      </c>
      <c r="H114" s="22" t="s">
        <v>148</v>
      </c>
      <c r="I114" s="11"/>
      <c r="J114" s="11"/>
      <c r="K114" s="29" t="str">
        <f>"192,5"</f>
        <v>192,5</v>
      </c>
      <c r="L114" s="11" t="str">
        <f>"113,7483"</f>
        <v>113,7483</v>
      </c>
      <c r="M114" s="10" t="s">
        <v>1097</v>
      </c>
    </row>
    <row r="115" spans="1:13" ht="12.75">
      <c r="A115" s="11" t="s">
        <v>300</v>
      </c>
      <c r="B115" s="10" t="s">
        <v>1098</v>
      </c>
      <c r="C115" s="10" t="s">
        <v>336</v>
      </c>
      <c r="D115" s="10" t="s">
        <v>1099</v>
      </c>
      <c r="E115" s="10" t="str">
        <f>"0,5990"</f>
        <v>0,5990</v>
      </c>
      <c r="F115" s="41" t="s">
        <v>1100</v>
      </c>
      <c r="G115" s="22" t="s">
        <v>123</v>
      </c>
      <c r="H115" s="23" t="s">
        <v>148</v>
      </c>
      <c r="I115" s="23" t="s">
        <v>148</v>
      </c>
      <c r="J115" s="11"/>
      <c r="K115" s="29" t="str">
        <f>"185,0"</f>
        <v>185,0</v>
      </c>
      <c r="L115" s="11" t="str">
        <f>"110,8150"</f>
        <v>110,8150</v>
      </c>
      <c r="M115" s="10" t="s">
        <v>1101</v>
      </c>
    </row>
    <row r="116" spans="1:13" ht="12.75">
      <c r="A116" s="11" t="s">
        <v>717</v>
      </c>
      <c r="B116" s="10" t="s">
        <v>1102</v>
      </c>
      <c r="C116" s="10" t="s">
        <v>1103</v>
      </c>
      <c r="D116" s="10" t="s">
        <v>345</v>
      </c>
      <c r="E116" s="10" t="str">
        <f>"0,5919"</f>
        <v>0,5919</v>
      </c>
      <c r="F116" s="10" t="s">
        <v>55</v>
      </c>
      <c r="G116" s="23" t="s">
        <v>120</v>
      </c>
      <c r="H116" s="22" t="s">
        <v>123</v>
      </c>
      <c r="I116" s="23" t="s">
        <v>148</v>
      </c>
      <c r="J116" s="11"/>
      <c r="K116" s="29" t="str">
        <f>"185,0"</f>
        <v>185,0</v>
      </c>
      <c r="L116" s="11" t="str">
        <f>"109,5015"</f>
        <v>109,5015</v>
      </c>
      <c r="M116" s="10" t="s">
        <v>366</v>
      </c>
    </row>
    <row r="117" spans="1:13" ht="12.75">
      <c r="A117" s="11" t="s">
        <v>11</v>
      </c>
      <c r="B117" s="10" t="s">
        <v>1104</v>
      </c>
      <c r="C117" s="10" t="s">
        <v>1105</v>
      </c>
      <c r="D117" s="10" t="s">
        <v>824</v>
      </c>
      <c r="E117" s="10" t="str">
        <f>"0,5935"</f>
        <v>0,5935</v>
      </c>
      <c r="F117" s="10" t="s">
        <v>55</v>
      </c>
      <c r="G117" s="23" t="s">
        <v>61</v>
      </c>
      <c r="H117" s="23" t="s">
        <v>61</v>
      </c>
      <c r="I117" s="23" t="s">
        <v>61</v>
      </c>
      <c r="J117" s="11"/>
      <c r="K117" s="29">
        <v>0</v>
      </c>
      <c r="L117" s="11" t="str">
        <f>"0,0000"</f>
        <v>0,0000</v>
      </c>
      <c r="M117" s="10" t="s">
        <v>53</v>
      </c>
    </row>
    <row r="118" spans="1:13" ht="12.75">
      <c r="A118" s="11" t="s">
        <v>11</v>
      </c>
      <c r="B118" s="10" t="s">
        <v>1106</v>
      </c>
      <c r="C118" s="10" t="s">
        <v>1107</v>
      </c>
      <c r="D118" s="10" t="s">
        <v>1108</v>
      </c>
      <c r="E118" s="10" t="str">
        <f>"0,5898"</f>
        <v>0,5898</v>
      </c>
      <c r="F118" s="10" t="s">
        <v>55</v>
      </c>
      <c r="G118" s="23" t="s">
        <v>123</v>
      </c>
      <c r="H118" s="23" t="s">
        <v>148</v>
      </c>
      <c r="I118" s="23" t="s">
        <v>148</v>
      </c>
      <c r="J118" s="11"/>
      <c r="K118" s="29">
        <v>0</v>
      </c>
      <c r="L118" s="11" t="str">
        <f>"0,0000"</f>
        <v>0,0000</v>
      </c>
      <c r="M118" s="10" t="s">
        <v>1109</v>
      </c>
    </row>
    <row r="119" spans="1:13" ht="12.75">
      <c r="A119" s="11" t="s">
        <v>15</v>
      </c>
      <c r="B119" s="10" t="s">
        <v>1086</v>
      </c>
      <c r="C119" s="10" t="s">
        <v>1110</v>
      </c>
      <c r="D119" s="10" t="s">
        <v>1088</v>
      </c>
      <c r="E119" s="10" t="str">
        <f>"0,5948"</f>
        <v>0,5948</v>
      </c>
      <c r="F119" s="10" t="s">
        <v>339</v>
      </c>
      <c r="G119" s="22" t="s">
        <v>133</v>
      </c>
      <c r="H119" s="22" t="s">
        <v>146</v>
      </c>
      <c r="I119" s="23" t="s">
        <v>140</v>
      </c>
      <c r="J119" s="11"/>
      <c r="K119" s="29" t="str">
        <f>"225,0"</f>
        <v>225,0</v>
      </c>
      <c r="L119" s="11" t="str">
        <f>"139,7185"</f>
        <v>139,7185</v>
      </c>
      <c r="M119" s="10" t="s">
        <v>1089</v>
      </c>
    </row>
    <row r="120" spans="1:13" ht="12.75">
      <c r="A120" s="11" t="s">
        <v>39</v>
      </c>
      <c r="B120" s="10" t="s">
        <v>1111</v>
      </c>
      <c r="C120" s="10" t="s">
        <v>1112</v>
      </c>
      <c r="D120" s="10" t="s">
        <v>1113</v>
      </c>
      <c r="E120" s="10" t="str">
        <f>"0,5926"</f>
        <v>0,5926</v>
      </c>
      <c r="F120" s="10" t="s">
        <v>55</v>
      </c>
      <c r="G120" s="23" t="s">
        <v>132</v>
      </c>
      <c r="H120" s="22" t="s">
        <v>132</v>
      </c>
      <c r="I120" s="23" t="s">
        <v>143</v>
      </c>
      <c r="J120" s="11"/>
      <c r="K120" s="29" t="str">
        <f>"210,0"</f>
        <v>210,0</v>
      </c>
      <c r="L120" s="11" t="str">
        <f>"125,0682"</f>
        <v>125,0682</v>
      </c>
      <c r="M120" s="10" t="s">
        <v>53</v>
      </c>
    </row>
    <row r="121" spans="1:13" ht="12.75">
      <c r="A121" s="11" t="s">
        <v>49</v>
      </c>
      <c r="B121" s="10" t="s">
        <v>1114</v>
      </c>
      <c r="C121" s="10" t="s">
        <v>1115</v>
      </c>
      <c r="D121" s="10" t="s">
        <v>1116</v>
      </c>
      <c r="E121" s="10" t="str">
        <f>"0,5888"</f>
        <v>0,5888</v>
      </c>
      <c r="F121" s="10" t="s">
        <v>13</v>
      </c>
      <c r="G121" s="22" t="s">
        <v>148</v>
      </c>
      <c r="H121" s="22" t="s">
        <v>125</v>
      </c>
      <c r="I121" s="23" t="s">
        <v>150</v>
      </c>
      <c r="J121" s="11"/>
      <c r="K121" s="29" t="str">
        <f>"200,0"</f>
        <v>200,0</v>
      </c>
      <c r="L121" s="11" t="str">
        <f>"124,8256"</f>
        <v>124,8256</v>
      </c>
      <c r="M121" s="10" t="s">
        <v>53</v>
      </c>
    </row>
    <row r="122" spans="1:13" ht="12.75">
      <c r="A122" s="11" t="s">
        <v>65</v>
      </c>
      <c r="B122" s="10" t="s">
        <v>312</v>
      </c>
      <c r="C122" s="10" t="s">
        <v>313</v>
      </c>
      <c r="D122" s="10" t="s">
        <v>314</v>
      </c>
      <c r="E122" s="10" t="str">
        <f>"0,6011"</f>
        <v>0,6011</v>
      </c>
      <c r="F122" s="10" t="s">
        <v>315</v>
      </c>
      <c r="G122" s="22" t="s">
        <v>128</v>
      </c>
      <c r="H122" s="23" t="s">
        <v>124</v>
      </c>
      <c r="I122" s="23" t="s">
        <v>124</v>
      </c>
      <c r="J122" s="11"/>
      <c r="K122" s="29" t="str">
        <f>"190,0"</f>
        <v>190,0</v>
      </c>
      <c r="L122" s="11" t="str">
        <f>"119,2342"</f>
        <v>119,2342</v>
      </c>
      <c r="M122" s="10" t="s">
        <v>53</v>
      </c>
    </row>
    <row r="123" spans="1:13" ht="12.75">
      <c r="A123" s="11" t="s">
        <v>15</v>
      </c>
      <c r="B123" s="10" t="s">
        <v>1117</v>
      </c>
      <c r="C123" s="10" t="s">
        <v>1118</v>
      </c>
      <c r="D123" s="10" t="s">
        <v>1119</v>
      </c>
      <c r="E123" s="10" t="str">
        <f>"0,5928"</f>
        <v>0,5928</v>
      </c>
      <c r="F123" s="10" t="s">
        <v>127</v>
      </c>
      <c r="G123" s="22" t="s">
        <v>128</v>
      </c>
      <c r="H123" s="23" t="s">
        <v>149</v>
      </c>
      <c r="I123" s="22" t="s">
        <v>139</v>
      </c>
      <c r="J123" s="11"/>
      <c r="K123" s="29" t="str">
        <f>"202,5"</f>
        <v>202,5</v>
      </c>
      <c r="L123" s="11" t="str">
        <f>"142,4899"</f>
        <v>142,4899</v>
      </c>
      <c r="M123" s="10" t="s">
        <v>800</v>
      </c>
    </row>
    <row r="124" spans="1:13" ht="12.75">
      <c r="A124" s="13" t="s">
        <v>15</v>
      </c>
      <c r="B124" s="12" t="s">
        <v>1120</v>
      </c>
      <c r="C124" s="12" t="s">
        <v>1121</v>
      </c>
      <c r="D124" s="12" t="s">
        <v>369</v>
      </c>
      <c r="E124" s="12" t="str">
        <f>"0,6024"</f>
        <v>0,6024</v>
      </c>
      <c r="F124" s="12" t="s">
        <v>327</v>
      </c>
      <c r="G124" s="24" t="s">
        <v>85</v>
      </c>
      <c r="H124" s="24" t="s">
        <v>36</v>
      </c>
      <c r="I124" s="24" t="s">
        <v>38</v>
      </c>
      <c r="J124" s="13"/>
      <c r="K124" s="28" t="str">
        <f>"155,0"</f>
        <v>155,0</v>
      </c>
      <c r="L124" s="13" t="str">
        <f>"134,4557"</f>
        <v>134,4557</v>
      </c>
      <c r="M124" s="12" t="s">
        <v>1122</v>
      </c>
    </row>
    <row r="125" ht="12.75">
      <c r="B125" s="4" t="s">
        <v>26</v>
      </c>
    </row>
    <row r="126" spans="1:10" ht="15">
      <c r="A126" s="45" t="s">
        <v>208</v>
      </c>
      <c r="B126" s="45"/>
      <c r="C126" s="45"/>
      <c r="D126" s="45"/>
      <c r="E126" s="45"/>
      <c r="F126" s="45"/>
      <c r="G126" s="45"/>
      <c r="H126" s="45"/>
      <c r="I126" s="45"/>
      <c r="J126" s="45"/>
    </row>
    <row r="127" spans="1:13" ht="12.75">
      <c r="A127" s="9" t="s">
        <v>15</v>
      </c>
      <c r="B127" s="8" t="s">
        <v>1123</v>
      </c>
      <c r="C127" s="8" t="s">
        <v>1124</v>
      </c>
      <c r="D127" s="8" t="s">
        <v>1125</v>
      </c>
      <c r="E127" s="8" t="str">
        <f>"0,5721"</f>
        <v>0,5721</v>
      </c>
      <c r="F127" s="8" t="s">
        <v>352</v>
      </c>
      <c r="G127" s="20" t="s">
        <v>132</v>
      </c>
      <c r="H127" s="20" t="s">
        <v>134</v>
      </c>
      <c r="I127" s="9"/>
      <c r="J127" s="9"/>
      <c r="K127" s="27" t="str">
        <f>"220,0"</f>
        <v>220,0</v>
      </c>
      <c r="L127" s="9" t="str">
        <f>"125,8620"</f>
        <v>125,8620</v>
      </c>
      <c r="M127" s="8" t="s">
        <v>53</v>
      </c>
    </row>
    <row r="128" spans="1:13" ht="12.75">
      <c r="A128" s="11" t="s">
        <v>39</v>
      </c>
      <c r="B128" s="10" t="s">
        <v>1126</v>
      </c>
      <c r="C128" s="10" t="s">
        <v>1127</v>
      </c>
      <c r="D128" s="10" t="s">
        <v>1128</v>
      </c>
      <c r="E128" s="10" t="str">
        <f>"0,5811"</f>
        <v>0,5811</v>
      </c>
      <c r="F128" s="41" t="s">
        <v>1129</v>
      </c>
      <c r="G128" s="22" t="s">
        <v>148</v>
      </c>
      <c r="H128" s="22" t="s">
        <v>139</v>
      </c>
      <c r="I128" s="22" t="s">
        <v>150</v>
      </c>
      <c r="J128" s="11"/>
      <c r="K128" s="29" t="str">
        <f>"207,5"</f>
        <v>207,5</v>
      </c>
      <c r="L128" s="11" t="str">
        <f>"120,5782"</f>
        <v>120,5782</v>
      </c>
      <c r="M128" s="10" t="s">
        <v>53</v>
      </c>
    </row>
    <row r="129" spans="1:13" ht="12.75">
      <c r="A129" s="11" t="s">
        <v>49</v>
      </c>
      <c r="B129" s="10" t="s">
        <v>1130</v>
      </c>
      <c r="C129" s="10" t="s">
        <v>1131</v>
      </c>
      <c r="D129" s="10" t="s">
        <v>1132</v>
      </c>
      <c r="E129" s="10" t="str">
        <f>"0,5744"</f>
        <v>0,5744</v>
      </c>
      <c r="F129" s="10" t="s">
        <v>59</v>
      </c>
      <c r="G129" s="22" t="s">
        <v>128</v>
      </c>
      <c r="H129" s="22" t="s">
        <v>125</v>
      </c>
      <c r="I129" s="23" t="s">
        <v>169</v>
      </c>
      <c r="J129" s="11"/>
      <c r="K129" s="29" t="str">
        <f>"200,0"</f>
        <v>200,0</v>
      </c>
      <c r="L129" s="11" t="str">
        <f>"114,8800"</f>
        <v>114,8800</v>
      </c>
      <c r="M129" s="10" t="s">
        <v>53</v>
      </c>
    </row>
    <row r="130" spans="1:13" ht="12.75">
      <c r="A130" s="11" t="s">
        <v>15</v>
      </c>
      <c r="B130" s="10" t="s">
        <v>1133</v>
      </c>
      <c r="C130" s="10" t="s">
        <v>1134</v>
      </c>
      <c r="D130" s="10" t="s">
        <v>1135</v>
      </c>
      <c r="E130" s="10" t="str">
        <f>"0,5707"</f>
        <v>0,5707</v>
      </c>
      <c r="F130" s="10" t="s">
        <v>55</v>
      </c>
      <c r="G130" s="22" t="s">
        <v>147</v>
      </c>
      <c r="H130" s="22" t="s">
        <v>145</v>
      </c>
      <c r="I130" s="23" t="s">
        <v>171</v>
      </c>
      <c r="J130" s="11"/>
      <c r="K130" s="29" t="str">
        <f>"255,0"</f>
        <v>255,0</v>
      </c>
      <c r="L130" s="11" t="str">
        <f>"145,5285"</f>
        <v>145,5285</v>
      </c>
      <c r="M130" s="10" t="s">
        <v>1136</v>
      </c>
    </row>
    <row r="131" spans="1:13" ht="12.75">
      <c r="A131" s="11" t="s">
        <v>39</v>
      </c>
      <c r="B131" s="10" t="s">
        <v>1137</v>
      </c>
      <c r="C131" s="10" t="s">
        <v>1138</v>
      </c>
      <c r="D131" s="10" t="s">
        <v>1139</v>
      </c>
      <c r="E131" s="10" t="str">
        <f>"0,5791"</f>
        <v>0,5791</v>
      </c>
      <c r="F131" s="41" t="s">
        <v>1140</v>
      </c>
      <c r="G131" s="22" t="s">
        <v>146</v>
      </c>
      <c r="H131" s="22" t="s">
        <v>135</v>
      </c>
      <c r="I131" s="23" t="s">
        <v>147</v>
      </c>
      <c r="J131" s="11"/>
      <c r="K131" s="29" t="str">
        <f>"235,0"</f>
        <v>235,0</v>
      </c>
      <c r="L131" s="11" t="str">
        <f>"136,0885"</f>
        <v>136,0885</v>
      </c>
      <c r="M131" s="10" t="s">
        <v>497</v>
      </c>
    </row>
    <row r="132" spans="1:13" ht="12.75">
      <c r="A132" s="11" t="s">
        <v>49</v>
      </c>
      <c r="B132" s="10" t="s">
        <v>1141</v>
      </c>
      <c r="C132" s="10" t="s">
        <v>1142</v>
      </c>
      <c r="D132" s="10" t="s">
        <v>1143</v>
      </c>
      <c r="E132" s="10" t="str">
        <f>"0,5787"</f>
        <v>0,5787</v>
      </c>
      <c r="F132" s="10" t="s">
        <v>711</v>
      </c>
      <c r="G132" s="22" t="s">
        <v>134</v>
      </c>
      <c r="H132" s="23" t="s">
        <v>140</v>
      </c>
      <c r="I132" s="22" t="s">
        <v>140</v>
      </c>
      <c r="J132" s="11"/>
      <c r="K132" s="29" t="str">
        <f>"230,0"</f>
        <v>230,0</v>
      </c>
      <c r="L132" s="11" t="str">
        <f>"133,1010"</f>
        <v>133,1010</v>
      </c>
      <c r="M132" s="10" t="s">
        <v>1144</v>
      </c>
    </row>
    <row r="133" spans="1:13" ht="12.75">
      <c r="A133" s="11" t="s">
        <v>65</v>
      </c>
      <c r="B133" s="10" t="s">
        <v>1145</v>
      </c>
      <c r="C133" s="10" t="s">
        <v>1146</v>
      </c>
      <c r="D133" s="10" t="s">
        <v>346</v>
      </c>
      <c r="E133" s="10" t="str">
        <f>"0,5728"</f>
        <v>0,5728</v>
      </c>
      <c r="F133" s="10" t="s">
        <v>249</v>
      </c>
      <c r="G133" s="22" t="s">
        <v>128</v>
      </c>
      <c r="H133" s="22" t="s">
        <v>139</v>
      </c>
      <c r="I133" s="23" t="s">
        <v>132</v>
      </c>
      <c r="J133" s="11"/>
      <c r="K133" s="29" t="str">
        <f>"202,5"</f>
        <v>202,5</v>
      </c>
      <c r="L133" s="11" t="str">
        <f>"115,9920"</f>
        <v>115,9920</v>
      </c>
      <c r="M133" s="10" t="s">
        <v>53</v>
      </c>
    </row>
    <row r="134" spans="1:13" ht="12.75">
      <c r="A134" s="11" t="s">
        <v>66</v>
      </c>
      <c r="B134" s="10" t="s">
        <v>1147</v>
      </c>
      <c r="C134" s="10" t="s">
        <v>1148</v>
      </c>
      <c r="D134" s="10" t="s">
        <v>1149</v>
      </c>
      <c r="E134" s="10" t="str">
        <f>"0,5782"</f>
        <v>0,5782</v>
      </c>
      <c r="F134" s="10" t="s">
        <v>1150</v>
      </c>
      <c r="G134" s="22" t="s">
        <v>123</v>
      </c>
      <c r="H134" s="23" t="s">
        <v>125</v>
      </c>
      <c r="I134" s="23" t="s">
        <v>125</v>
      </c>
      <c r="J134" s="11"/>
      <c r="K134" s="29" t="str">
        <f>"185,0"</f>
        <v>185,0</v>
      </c>
      <c r="L134" s="11" t="str">
        <f>"106,9670"</f>
        <v>106,9670</v>
      </c>
      <c r="M134" s="10" t="s">
        <v>1151</v>
      </c>
    </row>
    <row r="135" spans="1:13" ht="12.75">
      <c r="A135" s="11" t="s">
        <v>69</v>
      </c>
      <c r="B135" s="10" t="s">
        <v>1152</v>
      </c>
      <c r="C135" s="10" t="s">
        <v>1153</v>
      </c>
      <c r="D135" s="10" t="s">
        <v>1154</v>
      </c>
      <c r="E135" s="10" t="str">
        <f>"0,5753"</f>
        <v>0,5753</v>
      </c>
      <c r="F135" s="10" t="s">
        <v>711</v>
      </c>
      <c r="G135" s="22" t="s">
        <v>116</v>
      </c>
      <c r="H135" s="22" t="s">
        <v>120</v>
      </c>
      <c r="I135" s="23" t="s">
        <v>126</v>
      </c>
      <c r="J135" s="11"/>
      <c r="K135" s="29" t="str">
        <f>"175,0"</f>
        <v>175,0</v>
      </c>
      <c r="L135" s="11" t="str">
        <f>"100,6775"</f>
        <v>100,6775</v>
      </c>
      <c r="M135" s="10" t="s">
        <v>1155</v>
      </c>
    </row>
    <row r="136" spans="1:13" ht="12.75">
      <c r="A136" s="11" t="s">
        <v>175</v>
      </c>
      <c r="B136" s="10" t="s">
        <v>1156</v>
      </c>
      <c r="C136" s="10" t="s">
        <v>1157</v>
      </c>
      <c r="D136" s="10" t="s">
        <v>1158</v>
      </c>
      <c r="E136" s="10" t="str">
        <f>"0,5722"</f>
        <v>0,5722</v>
      </c>
      <c r="F136" s="10" t="s">
        <v>55</v>
      </c>
      <c r="G136" s="22" t="s">
        <v>80</v>
      </c>
      <c r="H136" s="22" t="s">
        <v>37</v>
      </c>
      <c r="I136" s="22" t="s">
        <v>81</v>
      </c>
      <c r="J136" s="11"/>
      <c r="K136" s="29" t="str">
        <f>"157,5"</f>
        <v>157,5</v>
      </c>
      <c r="L136" s="11" t="str">
        <f>"90,1215"</f>
        <v>90,1215</v>
      </c>
      <c r="M136" s="10" t="s">
        <v>53</v>
      </c>
    </row>
    <row r="137" spans="1:13" ht="12.75">
      <c r="A137" s="11" t="s">
        <v>15</v>
      </c>
      <c r="B137" s="10" t="s">
        <v>1159</v>
      </c>
      <c r="C137" s="10" t="s">
        <v>1160</v>
      </c>
      <c r="D137" s="10" t="s">
        <v>859</v>
      </c>
      <c r="E137" s="10" t="str">
        <f>"0,5801"</f>
        <v>0,5801</v>
      </c>
      <c r="F137" s="10" t="s">
        <v>176</v>
      </c>
      <c r="G137" s="22" t="s">
        <v>124</v>
      </c>
      <c r="H137" s="23" t="s">
        <v>139</v>
      </c>
      <c r="I137" s="22" t="s">
        <v>139</v>
      </c>
      <c r="J137" s="11"/>
      <c r="K137" s="29" t="str">
        <f>"202,5"</f>
        <v>202,5</v>
      </c>
      <c r="L137" s="11" t="str">
        <f>"130,8619"</f>
        <v>130,8619</v>
      </c>
      <c r="M137" s="10" t="s">
        <v>53</v>
      </c>
    </row>
    <row r="138" spans="1:13" ht="12.75">
      <c r="A138" s="11" t="s">
        <v>39</v>
      </c>
      <c r="B138" s="10" t="s">
        <v>1145</v>
      </c>
      <c r="C138" s="10" t="s">
        <v>1161</v>
      </c>
      <c r="D138" s="10" t="s">
        <v>346</v>
      </c>
      <c r="E138" s="10" t="str">
        <f>"0,5728"</f>
        <v>0,5728</v>
      </c>
      <c r="F138" s="10" t="s">
        <v>249</v>
      </c>
      <c r="G138" s="22" t="s">
        <v>128</v>
      </c>
      <c r="H138" s="22" t="s">
        <v>139</v>
      </c>
      <c r="I138" s="23" t="s">
        <v>132</v>
      </c>
      <c r="J138" s="11"/>
      <c r="K138" s="29" t="str">
        <f>"202,5"</f>
        <v>202,5</v>
      </c>
      <c r="L138" s="11" t="str">
        <f>"125,0394"</f>
        <v>125,0394</v>
      </c>
      <c r="M138" s="10" t="s">
        <v>53</v>
      </c>
    </row>
    <row r="139" spans="1:13" ht="12.75">
      <c r="A139" s="11" t="s">
        <v>49</v>
      </c>
      <c r="B139" s="10" t="s">
        <v>1162</v>
      </c>
      <c r="C139" s="10" t="s">
        <v>1163</v>
      </c>
      <c r="D139" s="10" t="s">
        <v>845</v>
      </c>
      <c r="E139" s="10" t="str">
        <f>"0,5769"</f>
        <v>0,5769</v>
      </c>
      <c r="F139" s="10" t="s">
        <v>1100</v>
      </c>
      <c r="G139" s="22" t="s">
        <v>124</v>
      </c>
      <c r="H139" s="23" t="s">
        <v>125</v>
      </c>
      <c r="I139" s="23" t="s">
        <v>125</v>
      </c>
      <c r="J139" s="11"/>
      <c r="K139" s="29" t="str">
        <f>"195,0"</f>
        <v>195,0</v>
      </c>
      <c r="L139" s="11" t="str">
        <f>"119,2452"</f>
        <v>119,2452</v>
      </c>
      <c r="M139" s="10" t="s">
        <v>53</v>
      </c>
    </row>
    <row r="140" spans="1:13" ht="12.75">
      <c r="A140" s="11" t="s">
        <v>15</v>
      </c>
      <c r="B140" s="10" t="s">
        <v>1164</v>
      </c>
      <c r="C140" s="10" t="s">
        <v>1165</v>
      </c>
      <c r="D140" s="10" t="s">
        <v>1166</v>
      </c>
      <c r="E140" s="10" t="str">
        <f>"0,5788"</f>
        <v>0,5788</v>
      </c>
      <c r="F140" s="10" t="s">
        <v>55</v>
      </c>
      <c r="G140" s="23" t="s">
        <v>126</v>
      </c>
      <c r="H140" s="22" t="s">
        <v>123</v>
      </c>
      <c r="I140" s="22" t="s">
        <v>128</v>
      </c>
      <c r="J140" s="11"/>
      <c r="K140" s="29" t="str">
        <f>"190,0"</f>
        <v>190,0</v>
      </c>
      <c r="L140" s="11" t="str">
        <f>"126,4678"</f>
        <v>126,4678</v>
      </c>
      <c r="M140" s="10" t="s">
        <v>1167</v>
      </c>
    </row>
    <row r="141" spans="1:13" ht="12.75">
      <c r="A141" s="13" t="s">
        <v>39</v>
      </c>
      <c r="B141" s="12" t="s">
        <v>376</v>
      </c>
      <c r="C141" s="12" t="s">
        <v>377</v>
      </c>
      <c r="D141" s="12" t="s">
        <v>378</v>
      </c>
      <c r="E141" s="12" t="str">
        <f>"0,5824"</f>
        <v>0,5824</v>
      </c>
      <c r="F141" s="12" t="s">
        <v>379</v>
      </c>
      <c r="G141" s="24" t="s">
        <v>51</v>
      </c>
      <c r="H141" s="24" t="s">
        <v>61</v>
      </c>
      <c r="I141" s="24" t="s">
        <v>62</v>
      </c>
      <c r="J141" s="13"/>
      <c r="K141" s="28" t="str">
        <f>"125,0"</f>
        <v>125,0</v>
      </c>
      <c r="L141" s="13" t="str">
        <f>"86,4136"</f>
        <v>86,4136</v>
      </c>
      <c r="M141" s="12" t="s">
        <v>380</v>
      </c>
    </row>
    <row r="142" ht="12.75">
      <c r="B142" s="4" t="s">
        <v>26</v>
      </c>
    </row>
    <row r="143" spans="1:10" ht="15">
      <c r="A143" s="45" t="s">
        <v>214</v>
      </c>
      <c r="B143" s="45"/>
      <c r="C143" s="45"/>
      <c r="D143" s="45"/>
      <c r="E143" s="45"/>
      <c r="F143" s="45"/>
      <c r="G143" s="45"/>
      <c r="H143" s="45"/>
      <c r="I143" s="45"/>
      <c r="J143" s="45"/>
    </row>
    <row r="144" spans="1:13" ht="12.75">
      <c r="A144" s="9" t="s">
        <v>15</v>
      </c>
      <c r="B144" s="8" t="s">
        <v>1168</v>
      </c>
      <c r="C144" s="8" t="s">
        <v>1169</v>
      </c>
      <c r="D144" s="8" t="s">
        <v>1170</v>
      </c>
      <c r="E144" s="8" t="str">
        <f>"0,5630"</f>
        <v>0,5630</v>
      </c>
      <c r="F144" s="39" t="s">
        <v>1171</v>
      </c>
      <c r="G144" s="20" t="s">
        <v>144</v>
      </c>
      <c r="H144" s="21" t="s">
        <v>145</v>
      </c>
      <c r="I144" s="9"/>
      <c r="J144" s="9"/>
      <c r="K144" s="27" t="str">
        <f>"245,0"</f>
        <v>245,0</v>
      </c>
      <c r="L144" s="9" t="str">
        <f>"137,9350"</f>
        <v>137,9350</v>
      </c>
      <c r="M144" s="8" t="s">
        <v>53</v>
      </c>
    </row>
    <row r="145" spans="1:13" ht="12.75">
      <c r="A145" s="11" t="s">
        <v>39</v>
      </c>
      <c r="B145" s="10" t="s">
        <v>1172</v>
      </c>
      <c r="C145" s="10" t="s">
        <v>1173</v>
      </c>
      <c r="D145" s="10" t="s">
        <v>1174</v>
      </c>
      <c r="E145" s="10" t="str">
        <f>"0,5652"</f>
        <v>0,5652</v>
      </c>
      <c r="F145" s="10" t="s">
        <v>102</v>
      </c>
      <c r="G145" s="22" t="s">
        <v>132</v>
      </c>
      <c r="H145" s="22" t="s">
        <v>143</v>
      </c>
      <c r="I145" s="22" t="s">
        <v>280</v>
      </c>
      <c r="J145" s="11"/>
      <c r="K145" s="29" t="str">
        <f>"222,5"</f>
        <v>222,5</v>
      </c>
      <c r="L145" s="11" t="str">
        <f>"125,7570"</f>
        <v>125,7570</v>
      </c>
      <c r="M145" s="10" t="s">
        <v>497</v>
      </c>
    </row>
    <row r="146" spans="1:13" ht="12.75">
      <c r="A146" s="11" t="s">
        <v>49</v>
      </c>
      <c r="B146" s="10" t="s">
        <v>1175</v>
      </c>
      <c r="C146" s="10" t="s">
        <v>1176</v>
      </c>
      <c r="D146" s="10" t="s">
        <v>1177</v>
      </c>
      <c r="E146" s="10" t="str">
        <f>"0,5593"</f>
        <v>0,5593</v>
      </c>
      <c r="F146" s="10" t="s">
        <v>199</v>
      </c>
      <c r="G146" s="22" t="s">
        <v>125</v>
      </c>
      <c r="H146" s="22" t="s">
        <v>150</v>
      </c>
      <c r="I146" s="22" t="s">
        <v>143</v>
      </c>
      <c r="J146" s="11"/>
      <c r="K146" s="29" t="str">
        <f>"217,5"</f>
        <v>217,5</v>
      </c>
      <c r="L146" s="11" t="str">
        <f>"121,6478"</f>
        <v>121,6478</v>
      </c>
      <c r="M146" s="10" t="s">
        <v>53</v>
      </c>
    </row>
    <row r="147" spans="1:13" ht="12.75">
      <c r="A147" s="11" t="s">
        <v>15</v>
      </c>
      <c r="B147" s="10" t="s">
        <v>1175</v>
      </c>
      <c r="C147" s="10" t="s">
        <v>1178</v>
      </c>
      <c r="D147" s="10" t="s">
        <v>1177</v>
      </c>
      <c r="E147" s="10" t="str">
        <f>"0,5593"</f>
        <v>0,5593</v>
      </c>
      <c r="F147" s="10" t="s">
        <v>199</v>
      </c>
      <c r="G147" s="22" t="s">
        <v>125</v>
      </c>
      <c r="H147" s="22" t="s">
        <v>150</v>
      </c>
      <c r="I147" s="22" t="s">
        <v>143</v>
      </c>
      <c r="J147" s="11"/>
      <c r="K147" s="29" t="str">
        <f>"217,5"</f>
        <v>217,5</v>
      </c>
      <c r="L147" s="11" t="str">
        <f>"160,8183"</f>
        <v>160,8183</v>
      </c>
      <c r="M147" s="10" t="s">
        <v>53</v>
      </c>
    </row>
    <row r="148" spans="1:13" ht="12.75">
      <c r="A148" s="13" t="s">
        <v>39</v>
      </c>
      <c r="B148" s="12" t="s">
        <v>1179</v>
      </c>
      <c r="C148" s="12" t="s">
        <v>1180</v>
      </c>
      <c r="D148" s="12" t="s">
        <v>1181</v>
      </c>
      <c r="E148" s="12" t="str">
        <f>"0,5659"</f>
        <v>0,5659</v>
      </c>
      <c r="F148" s="12" t="s">
        <v>55</v>
      </c>
      <c r="G148" s="24" t="s">
        <v>117</v>
      </c>
      <c r="H148" s="24" t="s">
        <v>120</v>
      </c>
      <c r="I148" s="25" t="s">
        <v>167</v>
      </c>
      <c r="J148" s="13"/>
      <c r="K148" s="28" t="str">
        <f>"175,0"</f>
        <v>175,0</v>
      </c>
      <c r="L148" s="13" t="str">
        <f>"126,0684"</f>
        <v>126,0684</v>
      </c>
      <c r="M148" s="12" t="s">
        <v>53</v>
      </c>
    </row>
    <row r="149" ht="12.75">
      <c r="B149" s="4" t="s">
        <v>26</v>
      </c>
    </row>
    <row r="150" spans="1:10" ht="15">
      <c r="A150" s="45" t="s">
        <v>217</v>
      </c>
      <c r="B150" s="45"/>
      <c r="C150" s="45"/>
      <c r="D150" s="45"/>
      <c r="E150" s="45"/>
      <c r="F150" s="45"/>
      <c r="G150" s="45"/>
      <c r="H150" s="45"/>
      <c r="I150" s="45"/>
      <c r="J150" s="45"/>
    </row>
    <row r="151" spans="1:13" ht="12.75">
      <c r="A151" s="7" t="s">
        <v>15</v>
      </c>
      <c r="B151" s="6" t="s">
        <v>1182</v>
      </c>
      <c r="C151" s="6" t="s">
        <v>1183</v>
      </c>
      <c r="D151" s="6" t="s">
        <v>1184</v>
      </c>
      <c r="E151" s="6" t="str">
        <f>"0,5510"</f>
        <v>0,5510</v>
      </c>
      <c r="F151" s="6" t="s">
        <v>55</v>
      </c>
      <c r="G151" s="18" t="s">
        <v>128</v>
      </c>
      <c r="H151" s="18" t="s">
        <v>169</v>
      </c>
      <c r="I151" s="19" t="s">
        <v>133</v>
      </c>
      <c r="J151" s="7"/>
      <c r="K151" s="30" t="str">
        <f>"205,0"</f>
        <v>205,0</v>
      </c>
      <c r="L151" s="7" t="str">
        <f>"112,9550"</f>
        <v>112,9550</v>
      </c>
      <c r="M151" s="6" t="s">
        <v>53</v>
      </c>
    </row>
    <row r="152" ht="12.75">
      <c r="B152" s="4" t="s">
        <v>26</v>
      </c>
    </row>
    <row r="153" ht="12.75">
      <c r="B153" s="4" t="s">
        <v>26</v>
      </c>
    </row>
    <row r="154" ht="12.75">
      <c r="B154" s="4" t="s">
        <v>26</v>
      </c>
    </row>
    <row r="155" spans="2:6" ht="18">
      <c r="B155" s="14" t="s">
        <v>218</v>
      </c>
      <c r="C155" s="14"/>
      <c r="F155" s="3"/>
    </row>
    <row r="156" spans="2:6" ht="15">
      <c r="B156" s="44" t="s">
        <v>219</v>
      </c>
      <c r="C156" s="44"/>
      <c r="F156" s="3"/>
    </row>
    <row r="157" spans="2:6" ht="14.25">
      <c r="B157" s="15"/>
      <c r="C157" s="16" t="s">
        <v>220</v>
      </c>
      <c r="F157" s="3"/>
    </row>
    <row r="158" spans="2:6" ht="15">
      <c r="B158" s="17" t="s">
        <v>221</v>
      </c>
      <c r="C158" s="17" t="s">
        <v>222</v>
      </c>
      <c r="D158" s="17" t="s">
        <v>223</v>
      </c>
      <c r="E158" s="17" t="s">
        <v>879</v>
      </c>
      <c r="F158" s="17" t="s">
        <v>224</v>
      </c>
    </row>
    <row r="159" spans="2:6" ht="12.75">
      <c r="B159" s="4" t="s">
        <v>923</v>
      </c>
      <c r="C159" s="4" t="s">
        <v>220</v>
      </c>
      <c r="D159" s="5" t="s">
        <v>236</v>
      </c>
      <c r="E159" s="5" t="s">
        <v>62</v>
      </c>
      <c r="F159" s="5" t="s">
        <v>1185</v>
      </c>
    </row>
    <row r="160" spans="2:6" ht="12.75">
      <c r="B160" s="4" t="s">
        <v>915</v>
      </c>
      <c r="C160" s="4" t="s">
        <v>220</v>
      </c>
      <c r="D160" s="5" t="s">
        <v>228</v>
      </c>
      <c r="E160" s="5" t="s">
        <v>51</v>
      </c>
      <c r="F160" s="5" t="s">
        <v>1186</v>
      </c>
    </row>
    <row r="161" spans="2:6" ht="12.75">
      <c r="B161" s="4" t="s">
        <v>254</v>
      </c>
      <c r="C161" s="4" t="s">
        <v>220</v>
      </c>
      <c r="D161" s="5" t="s">
        <v>228</v>
      </c>
      <c r="E161" s="5" t="s">
        <v>50</v>
      </c>
      <c r="F161" s="5" t="s">
        <v>1187</v>
      </c>
    </row>
    <row r="163" spans="2:3" ht="15">
      <c r="B163" s="44" t="s">
        <v>229</v>
      </c>
      <c r="C163" s="44"/>
    </row>
    <row r="164" spans="2:3" ht="14.25">
      <c r="B164" s="15"/>
      <c r="C164" s="16" t="s">
        <v>233</v>
      </c>
    </row>
    <row r="165" spans="2:6" ht="15">
      <c r="B165" s="17" t="s">
        <v>221</v>
      </c>
      <c r="C165" s="17" t="s">
        <v>222</v>
      </c>
      <c r="D165" s="17" t="s">
        <v>223</v>
      </c>
      <c r="E165" s="17" t="s">
        <v>879</v>
      </c>
      <c r="F165" s="17" t="s">
        <v>224</v>
      </c>
    </row>
    <row r="166" spans="2:6" ht="12.75">
      <c r="B166" s="4" t="s">
        <v>991</v>
      </c>
      <c r="C166" s="4" t="s">
        <v>233</v>
      </c>
      <c r="D166" s="5" t="s">
        <v>237</v>
      </c>
      <c r="E166" s="5" t="s">
        <v>150</v>
      </c>
      <c r="F166" s="5" t="s">
        <v>1188</v>
      </c>
    </row>
    <row r="167" spans="2:6" ht="12.75">
      <c r="B167" s="4" t="s">
        <v>1123</v>
      </c>
      <c r="C167" s="4" t="s">
        <v>233</v>
      </c>
      <c r="D167" s="5" t="s">
        <v>234</v>
      </c>
      <c r="E167" s="5" t="s">
        <v>134</v>
      </c>
      <c r="F167" s="5" t="s">
        <v>1189</v>
      </c>
    </row>
    <row r="168" spans="2:6" ht="12.75">
      <c r="B168" s="4" t="s">
        <v>1126</v>
      </c>
      <c r="C168" s="4" t="s">
        <v>233</v>
      </c>
      <c r="D168" s="5" t="s">
        <v>234</v>
      </c>
      <c r="E168" s="5" t="s">
        <v>150</v>
      </c>
      <c r="F168" s="5" t="s">
        <v>1190</v>
      </c>
    </row>
    <row r="170" spans="2:3" ht="14.25">
      <c r="B170" s="15"/>
      <c r="C170" s="16" t="s">
        <v>220</v>
      </c>
    </row>
    <row r="171" spans="2:6" ht="15">
      <c r="B171" s="17" t="s">
        <v>221</v>
      </c>
      <c r="C171" s="17" t="s">
        <v>222</v>
      </c>
      <c r="D171" s="17" t="s">
        <v>223</v>
      </c>
      <c r="E171" s="17" t="s">
        <v>879</v>
      </c>
      <c r="F171" s="17" t="s">
        <v>224</v>
      </c>
    </row>
    <row r="172" spans="2:6" ht="12.75">
      <c r="B172" s="4" t="s">
        <v>1028</v>
      </c>
      <c r="C172" s="4" t="s">
        <v>220</v>
      </c>
      <c r="D172" s="5" t="s">
        <v>241</v>
      </c>
      <c r="E172" s="5" t="s">
        <v>269</v>
      </c>
      <c r="F172" s="5" t="s">
        <v>1191</v>
      </c>
    </row>
    <row r="173" spans="2:6" ht="12.75">
      <c r="B173" s="4" t="s">
        <v>946</v>
      </c>
      <c r="C173" s="4" t="s">
        <v>220</v>
      </c>
      <c r="D173" s="5" t="s">
        <v>236</v>
      </c>
      <c r="E173" s="5" t="s">
        <v>150</v>
      </c>
      <c r="F173" s="5" t="s">
        <v>1192</v>
      </c>
    </row>
    <row r="174" spans="2:6" ht="12.75">
      <c r="B174" s="4" t="s">
        <v>1079</v>
      </c>
      <c r="C174" s="4" t="s">
        <v>220</v>
      </c>
      <c r="D174" s="5" t="s">
        <v>323</v>
      </c>
      <c r="E174" s="5" t="s">
        <v>136</v>
      </c>
      <c r="F174" s="5" t="s">
        <v>1193</v>
      </c>
    </row>
    <row r="176" spans="2:3" ht="14.25">
      <c r="B176" s="15"/>
      <c r="C176" s="16" t="s">
        <v>238</v>
      </c>
    </row>
    <row r="177" spans="2:6" ht="15">
      <c r="B177" s="17" t="s">
        <v>221</v>
      </c>
      <c r="C177" s="17" t="s">
        <v>222</v>
      </c>
      <c r="D177" s="17" t="s">
        <v>223</v>
      </c>
      <c r="E177" s="17" t="s">
        <v>879</v>
      </c>
      <c r="F177" s="17" t="s">
        <v>224</v>
      </c>
    </row>
    <row r="178" spans="2:6" ht="12.75">
      <c r="B178" s="4" t="s">
        <v>1071</v>
      </c>
      <c r="C178" s="4" t="s">
        <v>239</v>
      </c>
      <c r="D178" s="5" t="s">
        <v>241</v>
      </c>
      <c r="E178" s="5" t="s">
        <v>143</v>
      </c>
      <c r="F178" s="5" t="s">
        <v>1194</v>
      </c>
    </row>
    <row r="179" spans="2:6" ht="12.75">
      <c r="B179" s="4" t="s">
        <v>1175</v>
      </c>
      <c r="C179" s="4" t="s">
        <v>239</v>
      </c>
      <c r="D179" s="5" t="s">
        <v>235</v>
      </c>
      <c r="E179" s="5" t="s">
        <v>143</v>
      </c>
      <c r="F179" s="5" t="s">
        <v>1195</v>
      </c>
    </row>
    <row r="180" spans="2:6" ht="12.75">
      <c r="B180" s="4" t="s">
        <v>952</v>
      </c>
      <c r="C180" s="4" t="s">
        <v>239</v>
      </c>
      <c r="D180" s="5" t="s">
        <v>236</v>
      </c>
      <c r="E180" s="5" t="s">
        <v>97</v>
      </c>
      <c r="F180" s="5" t="s">
        <v>1196</v>
      </c>
    </row>
    <row r="181" ht="12.75">
      <c r="B181" s="4" t="s">
        <v>26</v>
      </c>
    </row>
  </sheetData>
  <sheetProtection/>
  <mergeCells count="29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B3:B4"/>
    <mergeCell ref="A32:J32"/>
    <mergeCell ref="A35:J35"/>
    <mergeCell ref="A38:J38"/>
    <mergeCell ref="A41:J41"/>
    <mergeCell ref="K3:K4"/>
    <mergeCell ref="L3:L4"/>
    <mergeCell ref="A8:J8"/>
    <mergeCell ref="A12:J12"/>
    <mergeCell ref="A16:J16"/>
    <mergeCell ref="A20:J20"/>
    <mergeCell ref="A26:J26"/>
    <mergeCell ref="A29:J29"/>
    <mergeCell ref="A82:J82"/>
    <mergeCell ref="A105:J105"/>
    <mergeCell ref="A126:J126"/>
    <mergeCell ref="A143:J143"/>
    <mergeCell ref="A150:J150"/>
    <mergeCell ref="A50:J50"/>
    <mergeCell ref="A66:J6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E17" sqref="E17"/>
    </sheetView>
  </sheetViews>
  <sheetFormatPr defaultColWidth="9.125" defaultRowHeight="12.75"/>
  <cols>
    <col min="1" max="1" width="7.375" style="4" bestFit="1" customWidth="1"/>
    <col min="2" max="2" width="18.25390625" style="4" bestFit="1" customWidth="1"/>
    <col min="3" max="3" width="26.25390625" style="4" bestFit="1" customWidth="1"/>
    <col min="4" max="4" width="16.875" style="4" customWidth="1"/>
    <col min="5" max="5" width="10.375" style="4" bestFit="1" customWidth="1"/>
    <col min="6" max="6" width="21.75390625" style="4" customWidth="1"/>
    <col min="7" max="9" width="5.375" style="5" customWidth="1"/>
    <col min="10" max="10" width="4.875" style="5" customWidth="1"/>
    <col min="11" max="11" width="10.375" style="26" bestFit="1" customWidth="1"/>
    <col min="12" max="12" width="8.375" style="5" bestFit="1" customWidth="1"/>
    <col min="13" max="13" width="18.125" style="4" customWidth="1"/>
    <col min="14" max="16384" width="9.125" style="3" customWidth="1"/>
  </cols>
  <sheetData>
    <row r="1" spans="1:13" s="2" customFormat="1" ht="28.5" customHeight="1">
      <c r="A1" s="56" t="s">
        <v>1197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1.5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0</v>
      </c>
      <c r="B3" s="54" t="s">
        <v>1</v>
      </c>
      <c r="C3" s="66" t="s">
        <v>2</v>
      </c>
      <c r="D3" s="66" t="s">
        <v>3</v>
      </c>
      <c r="E3" s="48" t="s">
        <v>4</v>
      </c>
      <c r="F3" s="48" t="s">
        <v>5</v>
      </c>
      <c r="G3" s="48" t="s">
        <v>6</v>
      </c>
      <c r="H3" s="48"/>
      <c r="I3" s="48"/>
      <c r="J3" s="48"/>
      <c r="K3" s="46" t="s">
        <v>417</v>
      </c>
      <c r="L3" s="48" t="s">
        <v>7</v>
      </c>
      <c r="M3" s="50" t="s">
        <v>8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3">
        <v>1</v>
      </c>
      <c r="H4" s="43">
        <v>2</v>
      </c>
      <c r="I4" s="43">
        <v>3</v>
      </c>
      <c r="J4" s="43" t="s">
        <v>9</v>
      </c>
      <c r="K4" s="47"/>
      <c r="L4" s="49"/>
      <c r="M4" s="51"/>
    </row>
    <row r="5" spans="1:10" ht="15">
      <c r="A5" s="52" t="s">
        <v>107</v>
      </c>
      <c r="B5" s="52"/>
      <c r="C5" s="53"/>
      <c r="D5" s="53"/>
      <c r="E5" s="53"/>
      <c r="F5" s="53"/>
      <c r="G5" s="53"/>
      <c r="H5" s="53"/>
      <c r="I5" s="53"/>
      <c r="J5" s="53"/>
    </row>
    <row r="6" spans="1:13" ht="12.75">
      <c r="A6" s="7" t="s">
        <v>15</v>
      </c>
      <c r="B6" s="6" t="s">
        <v>1198</v>
      </c>
      <c r="C6" s="6" t="s">
        <v>1199</v>
      </c>
      <c r="D6" s="6" t="s">
        <v>328</v>
      </c>
      <c r="E6" s="6" t="str">
        <f>"0,7126"</f>
        <v>0,7126</v>
      </c>
      <c r="F6" s="6" t="s">
        <v>55</v>
      </c>
      <c r="G6" s="19" t="s">
        <v>38</v>
      </c>
      <c r="H6" s="19" t="s">
        <v>38</v>
      </c>
      <c r="I6" s="18" t="s">
        <v>38</v>
      </c>
      <c r="J6" s="7"/>
      <c r="K6" s="30" t="str">
        <f>"155,0"</f>
        <v>155,0</v>
      </c>
      <c r="L6" s="7" t="str">
        <f>"110,4530"</f>
        <v>110,4530</v>
      </c>
      <c r="M6" s="6" t="s">
        <v>1200</v>
      </c>
    </row>
    <row r="7" ht="12.75">
      <c r="B7" s="4" t="s">
        <v>26</v>
      </c>
    </row>
    <row r="8" spans="1:10" ht="15">
      <c r="A8" s="45" t="s">
        <v>115</v>
      </c>
      <c r="B8" s="45"/>
      <c r="C8" s="45"/>
      <c r="D8" s="45"/>
      <c r="E8" s="45"/>
      <c r="F8" s="45"/>
      <c r="G8" s="45"/>
      <c r="H8" s="45"/>
      <c r="I8" s="45"/>
      <c r="J8" s="45"/>
    </row>
    <row r="9" spans="1:13" ht="12.75">
      <c r="A9" s="7" t="s">
        <v>11</v>
      </c>
      <c r="B9" s="6" t="s">
        <v>1201</v>
      </c>
      <c r="C9" s="6" t="s">
        <v>1202</v>
      </c>
      <c r="D9" s="6" t="s">
        <v>1203</v>
      </c>
      <c r="E9" s="6" t="str">
        <f>"0,6905"</f>
        <v>0,6905</v>
      </c>
      <c r="F9" s="6" t="s">
        <v>262</v>
      </c>
      <c r="G9" s="19" t="s">
        <v>123</v>
      </c>
      <c r="H9" s="19" t="s">
        <v>123</v>
      </c>
      <c r="I9" s="19" t="s">
        <v>123</v>
      </c>
      <c r="J9" s="7"/>
      <c r="K9" s="30">
        <v>0</v>
      </c>
      <c r="L9" s="7" t="str">
        <f>"0,0000"</f>
        <v>0,0000</v>
      </c>
      <c r="M9" s="6" t="s">
        <v>266</v>
      </c>
    </row>
    <row r="10" ht="12.75">
      <c r="B10" s="4" t="s">
        <v>26</v>
      </c>
    </row>
    <row r="11" spans="1:10" ht="15">
      <c r="A11" s="45" t="s">
        <v>190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3" ht="12.75">
      <c r="A12" s="7" t="s">
        <v>15</v>
      </c>
      <c r="B12" s="6" t="s">
        <v>1204</v>
      </c>
      <c r="C12" s="6" t="s">
        <v>1205</v>
      </c>
      <c r="D12" s="6" t="s">
        <v>296</v>
      </c>
      <c r="E12" s="6" t="str">
        <f>"0,6098"</f>
        <v>0,6098</v>
      </c>
      <c r="F12" s="6" t="s">
        <v>321</v>
      </c>
      <c r="G12" s="18" t="s">
        <v>128</v>
      </c>
      <c r="H12" s="19" t="s">
        <v>134</v>
      </c>
      <c r="I12" s="19" t="s">
        <v>134</v>
      </c>
      <c r="J12" s="7"/>
      <c r="K12" s="30" t="str">
        <f>"190,0"</f>
        <v>190,0</v>
      </c>
      <c r="L12" s="7" t="str">
        <f>"115,8620"</f>
        <v>115,8620</v>
      </c>
      <c r="M12" s="6" t="s">
        <v>1206</v>
      </c>
    </row>
    <row r="13" ht="12.75">
      <c r="B13" s="4" t="s">
        <v>26</v>
      </c>
    </row>
  </sheetData>
  <sheetProtection/>
  <mergeCells count="14"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  <mergeCell ref="M3:M4"/>
    <mergeCell ref="A5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F29" sqref="F29"/>
    </sheetView>
  </sheetViews>
  <sheetFormatPr defaultColWidth="9.125" defaultRowHeight="12.75"/>
  <cols>
    <col min="1" max="1" width="7.375" style="4" bestFit="1" customWidth="1"/>
    <col min="2" max="2" width="18.375" style="4" bestFit="1" customWidth="1"/>
    <col min="3" max="3" width="27.375" style="4" bestFit="1" customWidth="1"/>
    <col min="4" max="4" width="17.25390625" style="4" customWidth="1"/>
    <col min="5" max="5" width="10.375" style="4" bestFit="1" customWidth="1"/>
    <col min="6" max="6" width="23.125" style="4" customWidth="1"/>
    <col min="7" max="9" width="5.375" style="5" customWidth="1"/>
    <col min="10" max="10" width="4.875" style="5" customWidth="1"/>
    <col min="11" max="11" width="10.375" style="26" bestFit="1" customWidth="1"/>
    <col min="12" max="12" width="8.375" style="5" bestFit="1" customWidth="1"/>
    <col min="13" max="13" width="15.375" style="4" bestFit="1" customWidth="1"/>
    <col min="14" max="16384" width="9.125" style="3" customWidth="1"/>
  </cols>
  <sheetData>
    <row r="1" spans="1:13" s="2" customFormat="1" ht="28.5" customHeight="1">
      <c r="A1" s="56" t="s">
        <v>1207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1.5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0</v>
      </c>
      <c r="B3" s="54" t="s">
        <v>1</v>
      </c>
      <c r="C3" s="66" t="s">
        <v>2</v>
      </c>
      <c r="D3" s="66" t="s">
        <v>3</v>
      </c>
      <c r="E3" s="48" t="s">
        <v>4</v>
      </c>
      <c r="F3" s="48" t="s">
        <v>5</v>
      </c>
      <c r="G3" s="48" t="s">
        <v>6</v>
      </c>
      <c r="H3" s="48"/>
      <c r="I3" s="48"/>
      <c r="J3" s="48"/>
      <c r="K3" s="46" t="s">
        <v>417</v>
      </c>
      <c r="L3" s="48" t="s">
        <v>7</v>
      </c>
      <c r="M3" s="50" t="s">
        <v>8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3">
        <v>1</v>
      </c>
      <c r="H4" s="43">
        <v>2</v>
      </c>
      <c r="I4" s="43">
        <v>3</v>
      </c>
      <c r="J4" s="43" t="s">
        <v>9</v>
      </c>
      <c r="K4" s="47"/>
      <c r="L4" s="49"/>
      <c r="M4" s="51"/>
    </row>
    <row r="5" spans="1:10" ht="15">
      <c r="A5" s="52" t="s">
        <v>93</v>
      </c>
      <c r="B5" s="52"/>
      <c r="C5" s="53"/>
      <c r="D5" s="53"/>
      <c r="E5" s="53"/>
      <c r="F5" s="53"/>
      <c r="G5" s="53"/>
      <c r="H5" s="53"/>
      <c r="I5" s="53"/>
      <c r="J5" s="53"/>
    </row>
    <row r="6" spans="1:13" ht="12.75">
      <c r="A6" s="7" t="s">
        <v>15</v>
      </c>
      <c r="B6" s="6" t="s">
        <v>1208</v>
      </c>
      <c r="C6" s="6" t="s">
        <v>1209</v>
      </c>
      <c r="D6" s="6" t="s">
        <v>917</v>
      </c>
      <c r="E6" s="6" t="str">
        <f>"0,7747"</f>
        <v>0,7747</v>
      </c>
      <c r="F6" s="6" t="s">
        <v>339</v>
      </c>
      <c r="G6" s="18" t="s">
        <v>80</v>
      </c>
      <c r="H6" s="18" t="s">
        <v>37</v>
      </c>
      <c r="I6" s="18" t="s">
        <v>81</v>
      </c>
      <c r="J6" s="7"/>
      <c r="K6" s="30" t="str">
        <f>"157,5"</f>
        <v>157,5</v>
      </c>
      <c r="L6" s="7" t="str">
        <f>"122,0152"</f>
        <v>122,0152</v>
      </c>
      <c r="M6" s="6" t="s">
        <v>53</v>
      </c>
    </row>
    <row r="7" ht="12.75">
      <c r="B7" s="4" t="s">
        <v>26</v>
      </c>
    </row>
    <row r="8" spans="1:10" ht="15">
      <c r="A8" s="45" t="s">
        <v>107</v>
      </c>
      <c r="B8" s="45"/>
      <c r="C8" s="45"/>
      <c r="D8" s="45"/>
      <c r="E8" s="45"/>
      <c r="F8" s="45"/>
      <c r="G8" s="45"/>
      <c r="H8" s="45"/>
      <c r="I8" s="45"/>
      <c r="J8" s="45"/>
    </row>
    <row r="9" spans="1:13" ht="12.75">
      <c r="A9" s="7" t="s">
        <v>15</v>
      </c>
      <c r="B9" s="6" t="s">
        <v>1210</v>
      </c>
      <c r="C9" s="6" t="s">
        <v>1211</v>
      </c>
      <c r="D9" s="6" t="s">
        <v>328</v>
      </c>
      <c r="E9" s="6" t="str">
        <f>"0,7126"</f>
        <v>0,7126</v>
      </c>
      <c r="F9" s="6" t="s">
        <v>68</v>
      </c>
      <c r="G9" s="18" t="s">
        <v>126</v>
      </c>
      <c r="H9" s="18" t="s">
        <v>148</v>
      </c>
      <c r="I9" s="18" t="s">
        <v>125</v>
      </c>
      <c r="J9" s="7"/>
      <c r="K9" s="30" t="str">
        <f>"200,0"</f>
        <v>200,0</v>
      </c>
      <c r="L9" s="7" t="str">
        <f>"142,5200"</f>
        <v>142,5200</v>
      </c>
      <c r="M9" s="6" t="s">
        <v>53</v>
      </c>
    </row>
    <row r="10" ht="12.75">
      <c r="B10" s="4" t="s">
        <v>26</v>
      </c>
    </row>
    <row r="11" spans="1:10" ht="15">
      <c r="A11" s="45" t="s">
        <v>115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3" ht="12.75">
      <c r="A12" s="7" t="s">
        <v>11</v>
      </c>
      <c r="B12" s="6" t="s">
        <v>1201</v>
      </c>
      <c r="C12" s="6" t="s">
        <v>1202</v>
      </c>
      <c r="D12" s="6" t="s">
        <v>1203</v>
      </c>
      <c r="E12" s="6" t="str">
        <f>"0,6905"</f>
        <v>0,6905</v>
      </c>
      <c r="F12" s="6" t="s">
        <v>262</v>
      </c>
      <c r="G12" s="19" t="s">
        <v>120</v>
      </c>
      <c r="H12" s="19" t="s">
        <v>120</v>
      </c>
      <c r="I12" s="19" t="s">
        <v>120</v>
      </c>
      <c r="J12" s="7"/>
      <c r="K12" s="30">
        <v>0</v>
      </c>
      <c r="L12" s="7" t="str">
        <f>"0,0000"</f>
        <v>0,0000</v>
      </c>
      <c r="M12" s="6" t="s">
        <v>266</v>
      </c>
    </row>
    <row r="13" ht="12.75">
      <c r="B13" s="4" t="s">
        <v>26</v>
      </c>
    </row>
    <row r="14" spans="1:10" ht="15">
      <c r="A14" s="45" t="s">
        <v>118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13" ht="12.75">
      <c r="A15" s="7" t="s">
        <v>15</v>
      </c>
      <c r="B15" s="6" t="s">
        <v>1212</v>
      </c>
      <c r="C15" s="6" t="s">
        <v>1213</v>
      </c>
      <c r="D15" s="6" t="s">
        <v>358</v>
      </c>
      <c r="E15" s="6" t="str">
        <f>"0,6532"</f>
        <v>0,6532</v>
      </c>
      <c r="F15" s="42" t="s">
        <v>1214</v>
      </c>
      <c r="G15" s="18" t="s">
        <v>132</v>
      </c>
      <c r="H15" s="18" t="s">
        <v>134</v>
      </c>
      <c r="I15" s="19" t="s">
        <v>146</v>
      </c>
      <c r="J15" s="7"/>
      <c r="K15" s="30" t="str">
        <f>"220,0"</f>
        <v>220,0</v>
      </c>
      <c r="L15" s="7" t="str">
        <f>"143,7040"</f>
        <v>143,7040</v>
      </c>
      <c r="M15" s="6" t="s">
        <v>53</v>
      </c>
    </row>
    <row r="16" ht="12.75">
      <c r="B16" s="4" t="s">
        <v>26</v>
      </c>
    </row>
    <row r="17" spans="1:10" ht="15">
      <c r="A17" s="45" t="s">
        <v>190</v>
      </c>
      <c r="B17" s="45"/>
      <c r="C17" s="45"/>
      <c r="D17" s="45"/>
      <c r="E17" s="45"/>
      <c r="F17" s="45"/>
      <c r="G17" s="45"/>
      <c r="H17" s="45"/>
      <c r="I17" s="45"/>
      <c r="J17" s="45"/>
    </row>
    <row r="18" spans="1:13" ht="12.75">
      <c r="A18" s="9" t="s">
        <v>15</v>
      </c>
      <c r="B18" s="8" t="s">
        <v>1215</v>
      </c>
      <c r="C18" s="8" t="s">
        <v>1216</v>
      </c>
      <c r="D18" s="8" t="s">
        <v>344</v>
      </c>
      <c r="E18" s="8" t="str">
        <f>"0,6123"</f>
        <v>0,6123</v>
      </c>
      <c r="F18" s="8" t="s">
        <v>55</v>
      </c>
      <c r="G18" s="20" t="s">
        <v>279</v>
      </c>
      <c r="H18" s="20" t="s">
        <v>278</v>
      </c>
      <c r="I18" s="20" t="s">
        <v>209</v>
      </c>
      <c r="J18" s="9"/>
      <c r="K18" s="27" t="str">
        <f>"310,0"</f>
        <v>310,0</v>
      </c>
      <c r="L18" s="9" t="str">
        <f>"189,8130"</f>
        <v>189,8130</v>
      </c>
      <c r="M18" s="8" t="s">
        <v>88</v>
      </c>
    </row>
    <row r="19" spans="1:13" ht="12.75">
      <c r="A19" s="11" t="s">
        <v>39</v>
      </c>
      <c r="B19" s="10" t="s">
        <v>1037</v>
      </c>
      <c r="C19" s="10" t="s">
        <v>1038</v>
      </c>
      <c r="D19" s="10" t="s">
        <v>193</v>
      </c>
      <c r="E19" s="10" t="str">
        <f>"0,6139"</f>
        <v>0,6139</v>
      </c>
      <c r="F19" s="10" t="s">
        <v>1039</v>
      </c>
      <c r="G19" s="22" t="s">
        <v>144</v>
      </c>
      <c r="H19" s="22" t="s">
        <v>145</v>
      </c>
      <c r="I19" s="23" t="s">
        <v>180</v>
      </c>
      <c r="J19" s="11"/>
      <c r="K19" s="29" t="str">
        <f>"255,0"</f>
        <v>255,0</v>
      </c>
      <c r="L19" s="11" t="str">
        <f>"156,5445"</f>
        <v>156,5445</v>
      </c>
      <c r="M19" s="10" t="s">
        <v>53</v>
      </c>
    </row>
    <row r="20" spans="1:13" ht="12.75">
      <c r="A20" s="11" t="s">
        <v>15</v>
      </c>
      <c r="B20" s="10" t="s">
        <v>1215</v>
      </c>
      <c r="C20" s="10" t="s">
        <v>1217</v>
      </c>
      <c r="D20" s="10" t="s">
        <v>344</v>
      </c>
      <c r="E20" s="10" t="str">
        <f>"0,6123"</f>
        <v>0,6123</v>
      </c>
      <c r="F20" s="10" t="s">
        <v>55</v>
      </c>
      <c r="G20" s="22" t="s">
        <v>279</v>
      </c>
      <c r="H20" s="22" t="s">
        <v>278</v>
      </c>
      <c r="I20" s="22" t="s">
        <v>209</v>
      </c>
      <c r="J20" s="11"/>
      <c r="K20" s="29" t="str">
        <f>"310,0"</f>
        <v>310,0</v>
      </c>
      <c r="L20" s="11" t="str">
        <f>"208,0350"</f>
        <v>208,0350</v>
      </c>
      <c r="M20" s="10" t="s">
        <v>88</v>
      </c>
    </row>
    <row r="21" spans="1:13" ht="12.75">
      <c r="A21" s="13" t="s">
        <v>39</v>
      </c>
      <c r="B21" s="12" t="s">
        <v>1037</v>
      </c>
      <c r="C21" s="12" t="s">
        <v>1068</v>
      </c>
      <c r="D21" s="12" t="s">
        <v>193</v>
      </c>
      <c r="E21" s="12" t="str">
        <f>"0,6139"</f>
        <v>0,6139</v>
      </c>
      <c r="F21" s="12" t="s">
        <v>1039</v>
      </c>
      <c r="G21" s="24" t="s">
        <v>144</v>
      </c>
      <c r="H21" s="24" t="s">
        <v>145</v>
      </c>
      <c r="I21" s="25" t="s">
        <v>180</v>
      </c>
      <c r="J21" s="13"/>
      <c r="K21" s="28" t="str">
        <f>"255,0"</f>
        <v>255,0</v>
      </c>
      <c r="L21" s="13" t="str">
        <f>"168,7550"</f>
        <v>168,7550</v>
      </c>
      <c r="M21" s="12" t="s">
        <v>53</v>
      </c>
    </row>
    <row r="22" ht="12.75">
      <c r="B22" s="4" t="s">
        <v>26</v>
      </c>
    </row>
    <row r="23" spans="1:10" ht="15">
      <c r="A23" s="45" t="s">
        <v>201</v>
      </c>
      <c r="B23" s="45"/>
      <c r="C23" s="45"/>
      <c r="D23" s="45"/>
      <c r="E23" s="45"/>
      <c r="F23" s="45"/>
      <c r="G23" s="45"/>
      <c r="H23" s="45"/>
      <c r="I23" s="45"/>
      <c r="J23" s="45"/>
    </row>
    <row r="24" spans="1:13" ht="12.75">
      <c r="A24" s="7" t="s">
        <v>15</v>
      </c>
      <c r="B24" s="6" t="s">
        <v>1218</v>
      </c>
      <c r="C24" s="6" t="s">
        <v>1219</v>
      </c>
      <c r="D24" s="6" t="s">
        <v>1220</v>
      </c>
      <c r="E24" s="6" t="str">
        <f>"0,5976"</f>
        <v>0,5976</v>
      </c>
      <c r="F24" s="6" t="s">
        <v>55</v>
      </c>
      <c r="G24" s="18" t="s">
        <v>134</v>
      </c>
      <c r="H24" s="18" t="s">
        <v>213</v>
      </c>
      <c r="I24" s="19" t="s">
        <v>135</v>
      </c>
      <c r="J24" s="7"/>
      <c r="K24" s="30" t="str">
        <f>"227,5"</f>
        <v>227,5</v>
      </c>
      <c r="L24" s="7" t="str">
        <f>"135,9540"</f>
        <v>135,9540</v>
      </c>
      <c r="M24" s="6" t="s">
        <v>53</v>
      </c>
    </row>
    <row r="25" ht="12.75">
      <c r="B25" s="4" t="s">
        <v>26</v>
      </c>
    </row>
  </sheetData>
  <sheetProtection/>
  <mergeCells count="17">
    <mergeCell ref="M3:M4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A23:J23"/>
    <mergeCell ref="A5:J5"/>
    <mergeCell ref="A8:J8"/>
    <mergeCell ref="A11:J11"/>
    <mergeCell ref="A14:J14"/>
    <mergeCell ref="A17:J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F22" sqref="F22"/>
    </sheetView>
  </sheetViews>
  <sheetFormatPr defaultColWidth="9.125" defaultRowHeight="12.75"/>
  <cols>
    <col min="1" max="1" width="7.375" style="4" bestFit="1" customWidth="1"/>
    <col min="2" max="2" width="18.00390625" style="4" bestFit="1" customWidth="1"/>
    <col min="3" max="3" width="27.375" style="4" bestFit="1" customWidth="1"/>
    <col min="4" max="4" width="17.875" style="4" customWidth="1"/>
    <col min="5" max="5" width="10.375" style="4" bestFit="1" customWidth="1"/>
    <col min="6" max="6" width="21.125" style="4" customWidth="1"/>
    <col min="7" max="9" width="5.375" style="5" customWidth="1"/>
    <col min="10" max="10" width="4.875" style="5" customWidth="1"/>
    <col min="11" max="11" width="10.375" style="5" bestFit="1" customWidth="1"/>
    <col min="12" max="12" width="8.375" style="5" bestFit="1" customWidth="1"/>
    <col min="13" max="13" width="19.875" style="4" customWidth="1"/>
    <col min="14" max="16384" width="9.125" style="3" customWidth="1"/>
  </cols>
  <sheetData>
    <row r="1" spans="1:13" s="2" customFormat="1" ht="28.5" customHeight="1">
      <c r="A1" s="56" t="s">
        <v>1221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1.5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0</v>
      </c>
      <c r="B3" s="54" t="s">
        <v>1</v>
      </c>
      <c r="C3" s="66" t="s">
        <v>2</v>
      </c>
      <c r="D3" s="66" t="s">
        <v>3</v>
      </c>
      <c r="E3" s="48" t="s">
        <v>4</v>
      </c>
      <c r="F3" s="48" t="s">
        <v>5</v>
      </c>
      <c r="G3" s="48" t="s">
        <v>6</v>
      </c>
      <c r="H3" s="48"/>
      <c r="I3" s="48"/>
      <c r="J3" s="48"/>
      <c r="K3" s="48" t="s">
        <v>417</v>
      </c>
      <c r="L3" s="48" t="s">
        <v>7</v>
      </c>
      <c r="M3" s="50" t="s">
        <v>8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3">
        <v>1</v>
      </c>
      <c r="H4" s="43">
        <v>2</v>
      </c>
      <c r="I4" s="43">
        <v>3</v>
      </c>
      <c r="J4" s="43" t="s">
        <v>9</v>
      </c>
      <c r="K4" s="49"/>
      <c r="L4" s="49"/>
      <c r="M4" s="51"/>
    </row>
    <row r="5" spans="1:10" ht="15">
      <c r="A5" s="52" t="s">
        <v>118</v>
      </c>
      <c r="B5" s="52"/>
      <c r="C5" s="53"/>
      <c r="D5" s="53"/>
      <c r="E5" s="53"/>
      <c r="F5" s="53"/>
      <c r="G5" s="53"/>
      <c r="H5" s="53"/>
      <c r="I5" s="53"/>
      <c r="J5" s="53"/>
    </row>
    <row r="6" spans="1:13" ht="12.75">
      <c r="A6" s="7" t="s">
        <v>15</v>
      </c>
      <c r="B6" s="6" t="s">
        <v>1222</v>
      </c>
      <c r="C6" s="6" t="s">
        <v>1223</v>
      </c>
      <c r="D6" s="6" t="s">
        <v>1224</v>
      </c>
      <c r="E6" s="6" t="str">
        <f>"0,6675"</f>
        <v>0,6675</v>
      </c>
      <c r="F6" s="6" t="s">
        <v>55</v>
      </c>
      <c r="G6" s="18" t="s">
        <v>117</v>
      </c>
      <c r="H6" s="19" t="s">
        <v>126</v>
      </c>
      <c r="I6" s="19" t="s">
        <v>126</v>
      </c>
      <c r="J6" s="7"/>
      <c r="K6" s="7" t="str">
        <f>"170,0"</f>
        <v>170,0</v>
      </c>
      <c r="L6" s="7" t="str">
        <f>"113,4750"</f>
        <v>113,4750</v>
      </c>
      <c r="M6" s="6" t="s">
        <v>1200</v>
      </c>
    </row>
    <row r="7" ht="12.75">
      <c r="B7" s="4" t="s">
        <v>26</v>
      </c>
    </row>
    <row r="8" spans="1:10" ht="15">
      <c r="A8" s="45" t="s">
        <v>190</v>
      </c>
      <c r="B8" s="45"/>
      <c r="C8" s="45"/>
      <c r="D8" s="45"/>
      <c r="E8" s="45"/>
      <c r="F8" s="45"/>
      <c r="G8" s="45"/>
      <c r="H8" s="45"/>
      <c r="I8" s="45"/>
      <c r="J8" s="45"/>
    </row>
    <row r="9" spans="1:13" ht="12.75">
      <c r="A9" s="9" t="s">
        <v>15</v>
      </c>
      <c r="B9" s="8" t="s">
        <v>384</v>
      </c>
      <c r="C9" s="8" t="s">
        <v>385</v>
      </c>
      <c r="D9" s="8" t="s">
        <v>386</v>
      </c>
      <c r="E9" s="8" t="str">
        <f>"0,6211"</f>
        <v>0,6211</v>
      </c>
      <c r="F9" s="8" t="s">
        <v>373</v>
      </c>
      <c r="G9" s="20" t="s">
        <v>117</v>
      </c>
      <c r="H9" s="20" t="s">
        <v>126</v>
      </c>
      <c r="I9" s="20" t="s">
        <v>128</v>
      </c>
      <c r="J9" s="9"/>
      <c r="K9" s="9" t="str">
        <f>"190,0"</f>
        <v>190,0</v>
      </c>
      <c r="L9" s="9" t="str">
        <f>"118,0090"</f>
        <v>118,0090</v>
      </c>
      <c r="M9" s="8" t="s">
        <v>387</v>
      </c>
    </row>
    <row r="10" spans="1:13" ht="12.75">
      <c r="A10" s="13" t="s">
        <v>15</v>
      </c>
      <c r="B10" s="12" t="s">
        <v>384</v>
      </c>
      <c r="C10" s="12" t="s">
        <v>388</v>
      </c>
      <c r="D10" s="12" t="s">
        <v>386</v>
      </c>
      <c r="E10" s="12" t="str">
        <f>"0,6211"</f>
        <v>0,6211</v>
      </c>
      <c r="F10" s="12" t="s">
        <v>373</v>
      </c>
      <c r="G10" s="24" t="s">
        <v>117</v>
      </c>
      <c r="H10" s="24" t="s">
        <v>126</v>
      </c>
      <c r="I10" s="24" t="s">
        <v>128</v>
      </c>
      <c r="J10" s="13"/>
      <c r="K10" s="13" t="str">
        <f>"190,0"</f>
        <v>190,0</v>
      </c>
      <c r="L10" s="13" t="str">
        <f>"131,4620"</f>
        <v>131,4620</v>
      </c>
      <c r="M10" s="12" t="s">
        <v>387</v>
      </c>
    </row>
    <row r="11" ht="12.75">
      <c r="B11" s="4" t="s">
        <v>26</v>
      </c>
    </row>
    <row r="12" spans="1:10" ht="15">
      <c r="A12" s="45" t="s">
        <v>201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3" ht="12.75">
      <c r="A13" s="7" t="s">
        <v>15</v>
      </c>
      <c r="B13" s="6" t="s">
        <v>1225</v>
      </c>
      <c r="C13" s="6" t="s">
        <v>1226</v>
      </c>
      <c r="D13" s="6" t="s">
        <v>809</v>
      </c>
      <c r="E13" s="6" t="str">
        <f>"0,5905"</f>
        <v>0,5905</v>
      </c>
      <c r="F13" s="6" t="s">
        <v>624</v>
      </c>
      <c r="G13" s="18" t="s">
        <v>135</v>
      </c>
      <c r="H13" s="19" t="s">
        <v>144</v>
      </c>
      <c r="I13" s="7"/>
      <c r="J13" s="7"/>
      <c r="K13" s="7" t="str">
        <f>"235,0"</f>
        <v>235,0</v>
      </c>
      <c r="L13" s="7" t="str">
        <f>"138,7675"</f>
        <v>138,7675</v>
      </c>
      <c r="M13" s="6" t="s">
        <v>53</v>
      </c>
    </row>
    <row r="14" ht="12.75">
      <c r="B14" s="4" t="s">
        <v>26</v>
      </c>
    </row>
  </sheetData>
  <sheetProtection/>
  <mergeCells count="14"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B3:B4"/>
    <mergeCell ref="K3:K4"/>
    <mergeCell ref="L3:L4"/>
    <mergeCell ref="M3:M4"/>
    <mergeCell ref="A5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D14" sqref="D14"/>
    </sheetView>
  </sheetViews>
  <sheetFormatPr defaultColWidth="9.125" defaultRowHeight="12.75"/>
  <cols>
    <col min="1" max="1" width="7.375" style="4" bestFit="1" customWidth="1"/>
    <col min="2" max="2" width="23.875" style="4" customWidth="1"/>
    <col min="3" max="3" width="26.25390625" style="4" bestFit="1" customWidth="1"/>
    <col min="4" max="4" width="17.00390625" style="4" customWidth="1"/>
    <col min="5" max="5" width="10.375" style="4" bestFit="1" customWidth="1"/>
    <col min="6" max="6" width="20.75390625" style="4" customWidth="1"/>
    <col min="7" max="9" width="5.375" style="5" customWidth="1"/>
    <col min="10" max="10" width="4.875" style="5" customWidth="1"/>
    <col min="11" max="11" width="10.375" style="5" bestFit="1" customWidth="1"/>
    <col min="12" max="12" width="8.375" style="5" bestFit="1" customWidth="1"/>
    <col min="13" max="13" width="20.375" style="4" customWidth="1"/>
    <col min="14" max="16384" width="9.125" style="3" customWidth="1"/>
  </cols>
  <sheetData>
    <row r="1" spans="1:13" s="2" customFormat="1" ht="28.5" customHeight="1">
      <c r="A1" s="56" t="s">
        <v>1227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1.5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0</v>
      </c>
      <c r="B3" s="54" t="s">
        <v>1</v>
      </c>
      <c r="C3" s="66" t="s">
        <v>2</v>
      </c>
      <c r="D3" s="66" t="s">
        <v>3</v>
      </c>
      <c r="E3" s="48" t="s">
        <v>4</v>
      </c>
      <c r="F3" s="48" t="s">
        <v>5</v>
      </c>
      <c r="G3" s="48" t="s">
        <v>6</v>
      </c>
      <c r="H3" s="48"/>
      <c r="I3" s="48"/>
      <c r="J3" s="48"/>
      <c r="K3" s="48" t="s">
        <v>417</v>
      </c>
      <c r="L3" s="48" t="s">
        <v>7</v>
      </c>
      <c r="M3" s="50" t="s">
        <v>8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3">
        <v>1</v>
      </c>
      <c r="H4" s="43">
        <v>2</v>
      </c>
      <c r="I4" s="43">
        <v>3</v>
      </c>
      <c r="J4" s="43" t="s">
        <v>9</v>
      </c>
      <c r="K4" s="49"/>
      <c r="L4" s="49"/>
      <c r="M4" s="51"/>
    </row>
    <row r="5" spans="1:10" ht="15">
      <c r="A5" s="52" t="s">
        <v>190</v>
      </c>
      <c r="B5" s="52"/>
      <c r="C5" s="53"/>
      <c r="D5" s="53"/>
      <c r="E5" s="53"/>
      <c r="F5" s="53"/>
      <c r="G5" s="53"/>
      <c r="H5" s="53"/>
      <c r="I5" s="53"/>
      <c r="J5" s="53"/>
    </row>
    <row r="6" spans="1:13" ht="12.75">
      <c r="A6" s="9" t="s">
        <v>15</v>
      </c>
      <c r="B6" s="8" t="s">
        <v>1228</v>
      </c>
      <c r="C6" s="8" t="s">
        <v>1229</v>
      </c>
      <c r="D6" s="8" t="s">
        <v>1230</v>
      </c>
      <c r="E6" s="8" t="str">
        <f>"0,6269"</f>
        <v>0,6269</v>
      </c>
      <c r="F6" s="39" t="s">
        <v>1231</v>
      </c>
      <c r="G6" s="21" t="s">
        <v>293</v>
      </c>
      <c r="H6" s="21" t="s">
        <v>293</v>
      </c>
      <c r="I6" s="20" t="s">
        <v>293</v>
      </c>
      <c r="J6" s="9"/>
      <c r="K6" s="9" t="str">
        <f>"315,0"</f>
        <v>315,0</v>
      </c>
      <c r="L6" s="9" t="str">
        <f>"197,4735"</f>
        <v>197,4735</v>
      </c>
      <c r="M6" s="8" t="s">
        <v>380</v>
      </c>
    </row>
    <row r="7" spans="1:13" ht="12.75">
      <c r="A7" s="13" t="s">
        <v>39</v>
      </c>
      <c r="B7" s="12" t="s">
        <v>1232</v>
      </c>
      <c r="C7" s="12" t="s">
        <v>1233</v>
      </c>
      <c r="D7" s="12" t="s">
        <v>1234</v>
      </c>
      <c r="E7" s="12" t="str">
        <f>"0,6282"</f>
        <v>0,6282</v>
      </c>
      <c r="F7" s="12" t="s">
        <v>262</v>
      </c>
      <c r="G7" s="25" t="s">
        <v>181</v>
      </c>
      <c r="H7" s="24" t="s">
        <v>181</v>
      </c>
      <c r="I7" s="25" t="s">
        <v>268</v>
      </c>
      <c r="J7" s="13"/>
      <c r="K7" s="13" t="str">
        <f>"270,0"</f>
        <v>270,0</v>
      </c>
      <c r="L7" s="13" t="str">
        <f>"169,6140"</f>
        <v>169,6140</v>
      </c>
      <c r="M7" s="12" t="s">
        <v>266</v>
      </c>
    </row>
    <row r="8" ht="12.75">
      <c r="B8" s="4" t="s">
        <v>26</v>
      </c>
    </row>
  </sheetData>
  <sheetProtection/>
  <mergeCells count="12">
    <mergeCell ref="L3:L4"/>
    <mergeCell ref="M3:M4"/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7">
      <selection activeCell="G40" sqref="G40"/>
    </sheetView>
  </sheetViews>
  <sheetFormatPr defaultColWidth="9.125" defaultRowHeight="12.75"/>
  <cols>
    <col min="1" max="1" width="7.375" style="4" bestFit="1" customWidth="1"/>
    <col min="2" max="2" width="20.125" style="4" bestFit="1" customWidth="1"/>
    <col min="3" max="3" width="27.875" style="4" customWidth="1"/>
    <col min="4" max="4" width="13.875" style="4" bestFit="1" customWidth="1"/>
    <col min="5" max="5" width="10.375" style="4" bestFit="1" customWidth="1"/>
    <col min="6" max="6" width="21.375" style="4" customWidth="1"/>
    <col min="7" max="9" width="5.375" style="5" customWidth="1"/>
    <col min="10" max="10" width="4.875" style="5" customWidth="1"/>
    <col min="11" max="11" width="10.375" style="5" bestFit="1" customWidth="1"/>
    <col min="12" max="12" width="8.375" style="5" bestFit="1" customWidth="1"/>
    <col min="13" max="13" width="18.875" style="4" bestFit="1" customWidth="1"/>
    <col min="14" max="16384" width="9.125" style="3" customWidth="1"/>
  </cols>
  <sheetData>
    <row r="1" spans="1:13" s="2" customFormat="1" ht="28.5" customHeight="1">
      <c r="A1" s="56" t="s">
        <v>1235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1.5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0</v>
      </c>
      <c r="B3" s="54" t="s">
        <v>1</v>
      </c>
      <c r="C3" s="66" t="s">
        <v>2</v>
      </c>
      <c r="D3" s="66" t="s">
        <v>3</v>
      </c>
      <c r="E3" s="48" t="s">
        <v>1236</v>
      </c>
      <c r="F3" s="48" t="s">
        <v>5</v>
      </c>
      <c r="G3" s="48" t="s">
        <v>6</v>
      </c>
      <c r="H3" s="48"/>
      <c r="I3" s="48"/>
      <c r="J3" s="48"/>
      <c r="K3" s="48" t="s">
        <v>417</v>
      </c>
      <c r="L3" s="48" t="s">
        <v>7</v>
      </c>
      <c r="M3" s="50" t="s">
        <v>8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3">
        <v>1</v>
      </c>
      <c r="H4" s="43">
        <v>2</v>
      </c>
      <c r="I4" s="43">
        <v>3</v>
      </c>
      <c r="J4" s="43" t="s">
        <v>9</v>
      </c>
      <c r="K4" s="49"/>
      <c r="L4" s="49"/>
      <c r="M4" s="51"/>
    </row>
    <row r="5" spans="1:10" ht="15">
      <c r="A5" s="52" t="s">
        <v>54</v>
      </c>
      <c r="B5" s="52"/>
      <c r="C5" s="53"/>
      <c r="D5" s="53"/>
      <c r="E5" s="53"/>
      <c r="F5" s="53"/>
      <c r="G5" s="53"/>
      <c r="H5" s="53"/>
      <c r="I5" s="53"/>
      <c r="J5" s="53"/>
    </row>
    <row r="6" spans="1:13" ht="12.75">
      <c r="A6" s="7" t="s">
        <v>15</v>
      </c>
      <c r="B6" s="6" t="s">
        <v>428</v>
      </c>
      <c r="C6" s="6" t="s">
        <v>429</v>
      </c>
      <c r="D6" s="6" t="s">
        <v>430</v>
      </c>
      <c r="E6" s="6" t="str">
        <f>"1,1093"</f>
        <v>1,1093</v>
      </c>
      <c r="F6" s="6" t="s">
        <v>55</v>
      </c>
      <c r="G6" s="18" t="s">
        <v>35</v>
      </c>
      <c r="H6" s="18" t="s">
        <v>99</v>
      </c>
      <c r="I6" s="18" t="s">
        <v>84</v>
      </c>
      <c r="J6" s="7"/>
      <c r="K6" s="7" t="str">
        <f>"72,5"</f>
        <v>72,5</v>
      </c>
      <c r="L6" s="7" t="str">
        <f>"80,4243"</f>
        <v>80,4243</v>
      </c>
      <c r="M6" s="6" t="s">
        <v>431</v>
      </c>
    </row>
    <row r="7" ht="12.75">
      <c r="B7" s="4" t="s">
        <v>26</v>
      </c>
    </row>
    <row r="8" spans="1:10" ht="15">
      <c r="A8" s="45" t="s">
        <v>76</v>
      </c>
      <c r="B8" s="45"/>
      <c r="C8" s="45"/>
      <c r="D8" s="45"/>
      <c r="E8" s="45"/>
      <c r="F8" s="45"/>
      <c r="G8" s="45"/>
      <c r="H8" s="45"/>
      <c r="I8" s="45"/>
      <c r="J8" s="45"/>
    </row>
    <row r="9" spans="1:13" ht="12.75">
      <c r="A9" s="9" t="s">
        <v>15</v>
      </c>
      <c r="B9" s="8" t="s">
        <v>1237</v>
      </c>
      <c r="C9" s="8" t="s">
        <v>1238</v>
      </c>
      <c r="D9" s="8" t="s">
        <v>1239</v>
      </c>
      <c r="E9" s="8" t="str">
        <f>"1,0454"</f>
        <v>1,0454</v>
      </c>
      <c r="F9" s="8" t="s">
        <v>285</v>
      </c>
      <c r="G9" s="21" t="s">
        <v>43</v>
      </c>
      <c r="H9" s="20" t="s">
        <v>43</v>
      </c>
      <c r="I9" s="21" t="s">
        <v>60</v>
      </c>
      <c r="J9" s="9"/>
      <c r="K9" s="9" t="str">
        <f>"90,0"</f>
        <v>90,0</v>
      </c>
      <c r="L9" s="9" t="str">
        <f>"94,0860"</f>
        <v>94,0860</v>
      </c>
      <c r="M9" s="8" t="s">
        <v>1240</v>
      </c>
    </row>
    <row r="10" spans="1:13" ht="12.75">
      <c r="A10" s="13" t="s">
        <v>15</v>
      </c>
      <c r="B10" s="12" t="s">
        <v>1241</v>
      </c>
      <c r="C10" s="12" t="s">
        <v>1242</v>
      </c>
      <c r="D10" s="12" t="s">
        <v>1243</v>
      </c>
      <c r="E10" s="12" t="str">
        <f>"1,0439"</f>
        <v>1,0439</v>
      </c>
      <c r="F10" s="12" t="s">
        <v>970</v>
      </c>
      <c r="G10" s="24" t="s">
        <v>43</v>
      </c>
      <c r="H10" s="25" t="s">
        <v>60</v>
      </c>
      <c r="I10" s="25" t="s">
        <v>60</v>
      </c>
      <c r="J10" s="13"/>
      <c r="K10" s="13" t="str">
        <f>"90,0"</f>
        <v>90,0</v>
      </c>
      <c r="L10" s="13" t="str">
        <f>"93,9510"</f>
        <v>93,9510</v>
      </c>
      <c r="M10" s="12" t="s">
        <v>1244</v>
      </c>
    </row>
    <row r="11" ht="12.75">
      <c r="B11" s="4" t="s">
        <v>26</v>
      </c>
    </row>
    <row r="12" spans="1:10" ht="15">
      <c r="A12" s="45" t="s">
        <v>107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3" ht="12.75">
      <c r="A13" s="9" t="s">
        <v>15</v>
      </c>
      <c r="B13" s="8" t="s">
        <v>573</v>
      </c>
      <c r="C13" s="8" t="s">
        <v>574</v>
      </c>
      <c r="D13" s="8" t="s">
        <v>391</v>
      </c>
      <c r="E13" s="8" t="str">
        <f>"0,6990"</f>
        <v>0,6990</v>
      </c>
      <c r="F13" s="8" t="s">
        <v>55</v>
      </c>
      <c r="G13" s="20" t="s">
        <v>126</v>
      </c>
      <c r="H13" s="20" t="s">
        <v>148</v>
      </c>
      <c r="I13" s="21" t="s">
        <v>169</v>
      </c>
      <c r="J13" s="9"/>
      <c r="K13" s="9" t="str">
        <f>"192,5"</f>
        <v>192,5</v>
      </c>
      <c r="L13" s="9" t="str">
        <f>"134,5575"</f>
        <v>134,5575</v>
      </c>
      <c r="M13" s="8" t="s">
        <v>575</v>
      </c>
    </row>
    <row r="14" spans="1:13" ht="12.75">
      <c r="A14" s="11" t="s">
        <v>15</v>
      </c>
      <c r="B14" s="10" t="s">
        <v>1245</v>
      </c>
      <c r="C14" s="10" t="s">
        <v>1246</v>
      </c>
      <c r="D14" s="10" t="s">
        <v>264</v>
      </c>
      <c r="E14" s="10" t="str">
        <f>"0,6962"</f>
        <v>0,6962</v>
      </c>
      <c r="F14" s="10" t="s">
        <v>161</v>
      </c>
      <c r="G14" s="22" t="s">
        <v>123</v>
      </c>
      <c r="H14" s="22" t="s">
        <v>124</v>
      </c>
      <c r="I14" s="22" t="s">
        <v>139</v>
      </c>
      <c r="J14" s="11"/>
      <c r="K14" s="11" t="str">
        <f>"202,5"</f>
        <v>202,5</v>
      </c>
      <c r="L14" s="11" t="str">
        <f>"161,6930"</f>
        <v>161,6930</v>
      </c>
      <c r="M14" s="10" t="s">
        <v>1247</v>
      </c>
    </row>
    <row r="15" spans="1:13" ht="12.75">
      <c r="A15" s="13" t="s">
        <v>39</v>
      </c>
      <c r="B15" s="12" t="s">
        <v>594</v>
      </c>
      <c r="C15" s="12" t="s">
        <v>595</v>
      </c>
      <c r="D15" s="12" t="s">
        <v>596</v>
      </c>
      <c r="E15" s="12" t="str">
        <f>"0,6947"</f>
        <v>0,6947</v>
      </c>
      <c r="F15" s="12" t="s">
        <v>285</v>
      </c>
      <c r="G15" s="24" t="s">
        <v>85</v>
      </c>
      <c r="H15" s="25" t="s">
        <v>80</v>
      </c>
      <c r="I15" s="25" t="s">
        <v>48</v>
      </c>
      <c r="J15" s="13"/>
      <c r="K15" s="13" t="str">
        <f>"135,0"</f>
        <v>135,0</v>
      </c>
      <c r="L15" s="13" t="str">
        <f>"112,9165"</f>
        <v>112,9165</v>
      </c>
      <c r="M15" s="12" t="s">
        <v>53</v>
      </c>
    </row>
    <row r="16" ht="12.75">
      <c r="B16" s="4" t="s">
        <v>26</v>
      </c>
    </row>
    <row r="17" spans="1:10" ht="15">
      <c r="A17" s="45" t="s">
        <v>115</v>
      </c>
      <c r="B17" s="45"/>
      <c r="C17" s="45"/>
      <c r="D17" s="45"/>
      <c r="E17" s="45"/>
      <c r="F17" s="45"/>
      <c r="G17" s="45"/>
      <c r="H17" s="45"/>
      <c r="I17" s="45"/>
      <c r="J17" s="45"/>
    </row>
    <row r="18" spans="1:13" ht="12.75">
      <c r="A18" s="7" t="s">
        <v>15</v>
      </c>
      <c r="B18" s="6" t="s">
        <v>1248</v>
      </c>
      <c r="C18" s="6" t="s">
        <v>1249</v>
      </c>
      <c r="D18" s="6" t="s">
        <v>1250</v>
      </c>
      <c r="E18" s="6" t="str">
        <f>"0,6670"</f>
        <v>0,6670</v>
      </c>
      <c r="F18" s="42" t="s">
        <v>1251</v>
      </c>
      <c r="G18" s="18" t="s">
        <v>117</v>
      </c>
      <c r="H18" s="18" t="s">
        <v>126</v>
      </c>
      <c r="I18" s="18" t="s">
        <v>128</v>
      </c>
      <c r="J18" s="7"/>
      <c r="K18" s="7" t="str">
        <f>"190,0"</f>
        <v>190,0</v>
      </c>
      <c r="L18" s="7" t="str">
        <f>"133,7001"</f>
        <v>133,7001</v>
      </c>
      <c r="M18" s="6" t="s">
        <v>1252</v>
      </c>
    </row>
    <row r="19" ht="12.75">
      <c r="B19" s="4" t="s">
        <v>26</v>
      </c>
    </row>
    <row r="20" spans="1:10" ht="15">
      <c r="A20" s="45" t="s">
        <v>118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13" ht="12.75">
      <c r="A21" s="9" t="s">
        <v>15</v>
      </c>
      <c r="B21" s="8" t="s">
        <v>1253</v>
      </c>
      <c r="C21" s="8" t="s">
        <v>1254</v>
      </c>
      <c r="D21" s="8" t="s">
        <v>1255</v>
      </c>
      <c r="E21" s="8" t="str">
        <f>"0,6188"</f>
        <v>0,6188</v>
      </c>
      <c r="F21" s="8" t="s">
        <v>192</v>
      </c>
      <c r="G21" s="20" t="s">
        <v>125</v>
      </c>
      <c r="H21" s="21" t="s">
        <v>134</v>
      </c>
      <c r="I21" s="21" t="s">
        <v>134</v>
      </c>
      <c r="J21" s="9"/>
      <c r="K21" s="9" t="str">
        <f>"200,0"</f>
        <v>200,0</v>
      </c>
      <c r="L21" s="9" t="str">
        <f>"154,2174"</f>
        <v>154,2174</v>
      </c>
      <c r="M21" s="8" t="s">
        <v>53</v>
      </c>
    </row>
    <row r="22" spans="1:13" ht="12.75">
      <c r="A22" s="13" t="s">
        <v>15</v>
      </c>
      <c r="B22" s="12" t="s">
        <v>1256</v>
      </c>
      <c r="C22" s="12" t="s">
        <v>1257</v>
      </c>
      <c r="D22" s="12" t="s">
        <v>277</v>
      </c>
      <c r="E22" s="12" t="str">
        <f>"0,6157"</f>
        <v>0,6157</v>
      </c>
      <c r="F22" s="12" t="s">
        <v>55</v>
      </c>
      <c r="G22" s="24" t="s">
        <v>120</v>
      </c>
      <c r="H22" s="25" t="s">
        <v>126</v>
      </c>
      <c r="I22" s="25" t="s">
        <v>126</v>
      </c>
      <c r="J22" s="13"/>
      <c r="K22" s="13" t="str">
        <f>"175,0"</f>
        <v>175,0</v>
      </c>
      <c r="L22" s="13" t="str">
        <f>"173,4735"</f>
        <v>173,4735</v>
      </c>
      <c r="M22" s="12" t="s">
        <v>53</v>
      </c>
    </row>
    <row r="23" ht="12.75">
      <c r="B23" s="4" t="s">
        <v>26</v>
      </c>
    </row>
    <row r="24" spans="1:10" ht="15">
      <c r="A24" s="45" t="s">
        <v>190</v>
      </c>
      <c r="B24" s="45"/>
      <c r="C24" s="45"/>
      <c r="D24" s="45"/>
      <c r="E24" s="45"/>
      <c r="F24" s="45"/>
      <c r="G24" s="45"/>
      <c r="H24" s="45"/>
      <c r="I24" s="45"/>
      <c r="J24" s="45"/>
    </row>
    <row r="25" spans="1:13" ht="12.75">
      <c r="A25" s="9" t="s">
        <v>15</v>
      </c>
      <c r="B25" s="8" t="s">
        <v>1258</v>
      </c>
      <c r="C25" s="8" t="s">
        <v>1259</v>
      </c>
      <c r="D25" s="8" t="s">
        <v>1260</v>
      </c>
      <c r="E25" s="8" t="str">
        <f>"0,5816"</f>
        <v>0,5816</v>
      </c>
      <c r="F25" s="39" t="s">
        <v>1261</v>
      </c>
      <c r="G25" s="20" t="s">
        <v>128</v>
      </c>
      <c r="H25" s="20" t="s">
        <v>139</v>
      </c>
      <c r="I25" s="20" t="s">
        <v>132</v>
      </c>
      <c r="J25" s="9"/>
      <c r="K25" s="9" t="str">
        <f>"210,0"</f>
        <v>210,0</v>
      </c>
      <c r="L25" s="9" t="str">
        <f>"122,1255"</f>
        <v>122,1255</v>
      </c>
      <c r="M25" s="8" t="s">
        <v>1262</v>
      </c>
    </row>
    <row r="26" spans="1:13" ht="12.75">
      <c r="A26" s="11" t="s">
        <v>15</v>
      </c>
      <c r="B26" s="10" t="s">
        <v>1258</v>
      </c>
      <c r="C26" s="10" t="s">
        <v>1263</v>
      </c>
      <c r="D26" s="10" t="s">
        <v>1260</v>
      </c>
      <c r="E26" s="10" t="str">
        <f>"0,5816"</f>
        <v>0,5816</v>
      </c>
      <c r="F26" s="10" t="s">
        <v>1261</v>
      </c>
      <c r="G26" s="22" t="s">
        <v>128</v>
      </c>
      <c r="H26" s="22" t="s">
        <v>139</v>
      </c>
      <c r="I26" s="22" t="s">
        <v>132</v>
      </c>
      <c r="J26" s="11"/>
      <c r="K26" s="11" t="str">
        <f>"210,0"</f>
        <v>210,0</v>
      </c>
      <c r="L26" s="11" t="str">
        <f>"132,1398"</f>
        <v>132,1398</v>
      </c>
      <c r="M26" s="10" t="s">
        <v>1262</v>
      </c>
    </row>
    <row r="27" spans="1:13" ht="12.75">
      <c r="A27" s="13" t="s">
        <v>15</v>
      </c>
      <c r="B27" s="12" t="s">
        <v>1264</v>
      </c>
      <c r="C27" s="12" t="s">
        <v>1265</v>
      </c>
      <c r="D27" s="12" t="s">
        <v>1266</v>
      </c>
      <c r="E27" s="12" t="str">
        <f>"0,6016"</f>
        <v>0,6016</v>
      </c>
      <c r="F27" s="12" t="s">
        <v>161</v>
      </c>
      <c r="G27" s="25" t="s">
        <v>125</v>
      </c>
      <c r="H27" s="24" t="s">
        <v>125</v>
      </c>
      <c r="I27" s="25" t="s">
        <v>134</v>
      </c>
      <c r="J27" s="13"/>
      <c r="K27" s="13" t="str">
        <f>"200,0"</f>
        <v>200,0</v>
      </c>
      <c r="L27" s="13" t="str">
        <f>"164,3571"</f>
        <v>164,3571</v>
      </c>
      <c r="M27" s="12" t="s">
        <v>53</v>
      </c>
    </row>
    <row r="28" ht="12.75">
      <c r="B28" s="4" t="s">
        <v>26</v>
      </c>
    </row>
    <row r="29" spans="1:10" ht="15">
      <c r="A29" s="45" t="s">
        <v>201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3" ht="12.75">
      <c r="A30" s="9" t="s">
        <v>15</v>
      </c>
      <c r="B30" s="8" t="s">
        <v>1267</v>
      </c>
      <c r="C30" s="8" t="s">
        <v>1268</v>
      </c>
      <c r="D30" s="8" t="s">
        <v>1108</v>
      </c>
      <c r="E30" s="8" t="str">
        <f>"0,5637"</f>
        <v>0,5637</v>
      </c>
      <c r="F30" s="8" t="s">
        <v>55</v>
      </c>
      <c r="G30" s="20" t="s">
        <v>147</v>
      </c>
      <c r="H30" s="20" t="s">
        <v>270</v>
      </c>
      <c r="I30" s="21" t="s">
        <v>170</v>
      </c>
      <c r="J30" s="9"/>
      <c r="K30" s="9" t="str">
        <f>"247,5"</f>
        <v>247,5</v>
      </c>
      <c r="L30" s="9" t="str">
        <f>"139,5034"</f>
        <v>139,5034</v>
      </c>
      <c r="M30" s="8" t="s">
        <v>53</v>
      </c>
    </row>
    <row r="31" spans="1:13" ht="12.75">
      <c r="A31" s="13" t="s">
        <v>15</v>
      </c>
      <c r="B31" s="12" t="s">
        <v>1269</v>
      </c>
      <c r="C31" s="12" t="s">
        <v>1270</v>
      </c>
      <c r="D31" s="12" t="s">
        <v>1094</v>
      </c>
      <c r="E31" s="12" t="str">
        <f>"0,5645"</f>
        <v>0,5645</v>
      </c>
      <c r="F31" s="12" t="s">
        <v>1271</v>
      </c>
      <c r="G31" s="24" t="s">
        <v>126</v>
      </c>
      <c r="H31" s="24" t="s">
        <v>128</v>
      </c>
      <c r="I31" s="25" t="s">
        <v>133</v>
      </c>
      <c r="J31" s="13"/>
      <c r="K31" s="13" t="str">
        <f>"190,0"</f>
        <v>190,0</v>
      </c>
      <c r="L31" s="13" t="str">
        <f>"138,4785"</f>
        <v>138,4785</v>
      </c>
      <c r="M31" s="12" t="s">
        <v>53</v>
      </c>
    </row>
    <row r="32" ht="12.75">
      <c r="B32" s="4" t="s">
        <v>26</v>
      </c>
    </row>
    <row r="33" spans="1:10" ht="15">
      <c r="A33" s="45" t="s">
        <v>208</v>
      </c>
      <c r="B33" s="45"/>
      <c r="C33" s="45"/>
      <c r="D33" s="45"/>
      <c r="E33" s="45"/>
      <c r="F33" s="45"/>
      <c r="G33" s="45"/>
      <c r="H33" s="45"/>
      <c r="I33" s="45"/>
      <c r="J33" s="45"/>
    </row>
    <row r="34" spans="1:13" ht="12.75">
      <c r="A34" s="9" t="s">
        <v>15</v>
      </c>
      <c r="B34" s="8" t="s">
        <v>1272</v>
      </c>
      <c r="C34" s="8" t="s">
        <v>1273</v>
      </c>
      <c r="D34" s="8" t="s">
        <v>1274</v>
      </c>
      <c r="E34" s="8" t="str">
        <f>"0,5460"</f>
        <v>0,5460</v>
      </c>
      <c r="F34" s="39" t="s">
        <v>1275</v>
      </c>
      <c r="G34" s="20" t="s">
        <v>268</v>
      </c>
      <c r="H34" s="20" t="s">
        <v>1276</v>
      </c>
      <c r="I34" s="20" t="s">
        <v>278</v>
      </c>
      <c r="J34" s="9"/>
      <c r="K34" s="9" t="str">
        <f>"300,0"</f>
        <v>300,0</v>
      </c>
      <c r="L34" s="9" t="str">
        <f>"163,8000"</f>
        <v>163,8000</v>
      </c>
      <c r="M34" s="8" t="s">
        <v>1277</v>
      </c>
    </row>
    <row r="35" spans="1:13" ht="12.75">
      <c r="A35" s="11" t="s">
        <v>15</v>
      </c>
      <c r="B35" s="10" t="s">
        <v>1272</v>
      </c>
      <c r="C35" s="10" t="s">
        <v>1278</v>
      </c>
      <c r="D35" s="10" t="s">
        <v>1274</v>
      </c>
      <c r="E35" s="10" t="str">
        <f>"0,5460"</f>
        <v>0,5460</v>
      </c>
      <c r="F35" s="10" t="s">
        <v>1275</v>
      </c>
      <c r="G35" s="22" t="s">
        <v>268</v>
      </c>
      <c r="H35" s="22" t="s">
        <v>1276</v>
      </c>
      <c r="I35" s="22" t="s">
        <v>278</v>
      </c>
      <c r="J35" s="11"/>
      <c r="K35" s="11" t="str">
        <f>"300,0"</f>
        <v>300,0</v>
      </c>
      <c r="L35" s="11" t="str">
        <f>"182,3094"</f>
        <v>182,3094</v>
      </c>
      <c r="M35" s="10" t="s">
        <v>1277</v>
      </c>
    </row>
    <row r="36" spans="1:13" ht="12.75">
      <c r="A36" s="13" t="s">
        <v>15</v>
      </c>
      <c r="B36" s="12" t="s">
        <v>1279</v>
      </c>
      <c r="C36" s="12" t="s">
        <v>1280</v>
      </c>
      <c r="D36" s="12" t="s">
        <v>375</v>
      </c>
      <c r="E36" s="12" t="str">
        <f>"0,5525"</f>
        <v>0,5525</v>
      </c>
      <c r="F36" s="12" t="s">
        <v>339</v>
      </c>
      <c r="G36" s="24" t="s">
        <v>125</v>
      </c>
      <c r="H36" s="24" t="s">
        <v>132</v>
      </c>
      <c r="I36" s="25" t="s">
        <v>134</v>
      </c>
      <c r="J36" s="13"/>
      <c r="K36" s="13" t="str">
        <f>"210,0"</f>
        <v>210,0</v>
      </c>
      <c r="L36" s="13" t="str">
        <f>"131,0964"</f>
        <v>131,0964</v>
      </c>
      <c r="M36" s="12" t="s">
        <v>53</v>
      </c>
    </row>
    <row r="37" ht="12.75">
      <c r="B37" s="4" t="s">
        <v>26</v>
      </c>
    </row>
    <row r="38" ht="12.75">
      <c r="B38" s="4" t="s">
        <v>26</v>
      </c>
    </row>
    <row r="39" ht="12.75">
      <c r="B39" s="4" t="s">
        <v>26</v>
      </c>
    </row>
    <row r="40" spans="2:6" ht="18">
      <c r="B40" s="14" t="s">
        <v>218</v>
      </c>
      <c r="C40" s="14"/>
      <c r="F40" s="3"/>
    </row>
    <row r="41" spans="2:6" ht="15">
      <c r="B41" s="44" t="s">
        <v>229</v>
      </c>
      <c r="C41" s="44"/>
      <c r="F41" s="3"/>
    </row>
    <row r="42" spans="2:6" ht="14.25">
      <c r="B42" s="15"/>
      <c r="C42" s="16" t="s">
        <v>238</v>
      </c>
      <c r="F42" s="3"/>
    </row>
    <row r="43" spans="2:6" ht="15">
      <c r="B43" s="17" t="s">
        <v>221</v>
      </c>
      <c r="C43" s="17" t="s">
        <v>222</v>
      </c>
      <c r="D43" s="17" t="s">
        <v>223</v>
      </c>
      <c r="E43" s="17" t="s">
        <v>879</v>
      </c>
      <c r="F43" s="17" t="s">
        <v>1281</v>
      </c>
    </row>
    <row r="44" spans="2:6" ht="12.75">
      <c r="B44" s="4" t="s">
        <v>1272</v>
      </c>
      <c r="C44" s="4" t="s">
        <v>242</v>
      </c>
      <c r="D44" s="5" t="s">
        <v>234</v>
      </c>
      <c r="E44" s="5" t="s">
        <v>278</v>
      </c>
      <c r="F44" s="5" t="s">
        <v>1282</v>
      </c>
    </row>
    <row r="45" spans="2:6" ht="12.75">
      <c r="B45" s="4" t="s">
        <v>1256</v>
      </c>
      <c r="C45" s="4" t="s">
        <v>415</v>
      </c>
      <c r="D45" s="5" t="s">
        <v>237</v>
      </c>
      <c r="E45" s="5" t="s">
        <v>120</v>
      </c>
      <c r="F45" s="5" t="s">
        <v>1283</v>
      </c>
    </row>
    <row r="46" spans="2:6" ht="12.75">
      <c r="B46" s="4" t="s">
        <v>1264</v>
      </c>
      <c r="C46" s="4" t="s">
        <v>415</v>
      </c>
      <c r="D46" s="5" t="s">
        <v>241</v>
      </c>
      <c r="E46" s="5" t="s">
        <v>125</v>
      </c>
      <c r="F46" s="5" t="s">
        <v>1284</v>
      </c>
    </row>
    <row r="47" ht="12.75">
      <c r="B47" s="4" t="s">
        <v>26</v>
      </c>
    </row>
  </sheetData>
  <sheetProtection/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A33:J33"/>
    <mergeCell ref="B3:B4"/>
    <mergeCell ref="A8:J8"/>
    <mergeCell ref="A12:J12"/>
    <mergeCell ref="A17:J17"/>
    <mergeCell ref="A20:J20"/>
    <mergeCell ref="A24:J24"/>
    <mergeCell ref="A29:J29"/>
    <mergeCell ref="G3:J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28">
      <selection activeCell="G60" sqref="G60"/>
    </sheetView>
  </sheetViews>
  <sheetFormatPr defaultColWidth="9.125" defaultRowHeight="12.75"/>
  <cols>
    <col min="1" max="1" width="7.375" style="4" bestFit="1" customWidth="1"/>
    <col min="2" max="2" width="25.125" style="4" bestFit="1" customWidth="1"/>
    <col min="3" max="3" width="27.875" style="4" customWidth="1"/>
    <col min="4" max="4" width="13.875" style="4" bestFit="1" customWidth="1"/>
    <col min="5" max="5" width="10.375" style="4" bestFit="1" customWidth="1"/>
    <col min="6" max="6" width="24.00390625" style="4" bestFit="1" customWidth="1"/>
    <col min="7" max="9" width="5.375" style="5" customWidth="1"/>
    <col min="10" max="10" width="4.875" style="5" customWidth="1"/>
    <col min="11" max="11" width="10.375" style="26" bestFit="1" customWidth="1"/>
    <col min="12" max="12" width="8.375" style="5" bestFit="1" customWidth="1"/>
    <col min="13" max="13" width="18.75390625" style="4" bestFit="1" customWidth="1"/>
    <col min="14" max="16384" width="9.125" style="3" customWidth="1"/>
  </cols>
  <sheetData>
    <row r="1" spans="1:13" s="2" customFormat="1" ht="28.5" customHeight="1">
      <c r="A1" s="56" t="s">
        <v>1285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1.5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0</v>
      </c>
      <c r="B3" s="54" t="s">
        <v>1</v>
      </c>
      <c r="C3" s="66" t="s">
        <v>2</v>
      </c>
      <c r="D3" s="66" t="s">
        <v>3</v>
      </c>
      <c r="E3" s="48" t="s">
        <v>1236</v>
      </c>
      <c r="F3" s="48" t="s">
        <v>5</v>
      </c>
      <c r="G3" s="48" t="s">
        <v>6</v>
      </c>
      <c r="H3" s="48"/>
      <c r="I3" s="48"/>
      <c r="J3" s="48"/>
      <c r="K3" s="46" t="s">
        <v>417</v>
      </c>
      <c r="L3" s="48" t="s">
        <v>7</v>
      </c>
      <c r="M3" s="50" t="s">
        <v>8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3">
        <v>1</v>
      </c>
      <c r="H4" s="43">
        <v>2</v>
      </c>
      <c r="I4" s="43">
        <v>3</v>
      </c>
      <c r="J4" s="43" t="s">
        <v>9</v>
      </c>
      <c r="K4" s="47"/>
      <c r="L4" s="49"/>
      <c r="M4" s="51"/>
    </row>
    <row r="5" spans="1:10" ht="15">
      <c r="A5" s="52" t="s">
        <v>91</v>
      </c>
      <c r="B5" s="52"/>
      <c r="C5" s="53"/>
      <c r="D5" s="53"/>
      <c r="E5" s="53"/>
      <c r="F5" s="53"/>
      <c r="G5" s="53"/>
      <c r="H5" s="53"/>
      <c r="I5" s="53"/>
      <c r="J5" s="53"/>
    </row>
    <row r="6" spans="1:13" ht="12.75">
      <c r="A6" s="7" t="s">
        <v>11</v>
      </c>
      <c r="B6" s="6" t="s">
        <v>909</v>
      </c>
      <c r="C6" s="6" t="s">
        <v>910</v>
      </c>
      <c r="D6" s="6" t="s">
        <v>251</v>
      </c>
      <c r="E6" s="6" t="str">
        <f>"0,9930"</f>
        <v>0,9930</v>
      </c>
      <c r="F6" s="6" t="s">
        <v>281</v>
      </c>
      <c r="G6" s="19" t="s">
        <v>52</v>
      </c>
      <c r="H6" s="19" t="s">
        <v>52</v>
      </c>
      <c r="I6" s="19" t="s">
        <v>52</v>
      </c>
      <c r="J6" s="7"/>
      <c r="K6" s="30">
        <v>0</v>
      </c>
      <c r="L6" s="7" t="str">
        <f>"0,0000"</f>
        <v>0,0000</v>
      </c>
      <c r="M6" s="6" t="s">
        <v>911</v>
      </c>
    </row>
    <row r="7" ht="12.75">
      <c r="B7" s="4" t="s">
        <v>26</v>
      </c>
    </row>
    <row r="8" spans="1:10" ht="15">
      <c r="A8" s="45" t="s">
        <v>93</v>
      </c>
      <c r="B8" s="45"/>
      <c r="C8" s="45"/>
      <c r="D8" s="45"/>
      <c r="E8" s="45"/>
      <c r="F8" s="45"/>
      <c r="G8" s="45"/>
      <c r="H8" s="45"/>
      <c r="I8" s="45"/>
      <c r="J8" s="45"/>
    </row>
    <row r="9" spans="1:13" ht="12.75">
      <c r="A9" s="9" t="s">
        <v>15</v>
      </c>
      <c r="B9" s="8" t="s">
        <v>1286</v>
      </c>
      <c r="C9" s="8" t="s">
        <v>1287</v>
      </c>
      <c r="D9" s="8" t="s">
        <v>1288</v>
      </c>
      <c r="E9" s="8" t="str">
        <f>"0,9178"</f>
        <v>0,9178</v>
      </c>
      <c r="F9" s="8" t="s">
        <v>489</v>
      </c>
      <c r="G9" s="20" t="s">
        <v>62</v>
      </c>
      <c r="H9" s="20" t="s">
        <v>85</v>
      </c>
      <c r="I9" s="21" t="s">
        <v>48</v>
      </c>
      <c r="J9" s="9"/>
      <c r="K9" s="27" t="str">
        <f>"135,0"</f>
        <v>135,0</v>
      </c>
      <c r="L9" s="9" t="str">
        <f>"123,9030"</f>
        <v>123,9030</v>
      </c>
      <c r="M9" s="8" t="s">
        <v>1289</v>
      </c>
    </row>
    <row r="10" spans="1:13" ht="12.75">
      <c r="A10" s="13" t="s">
        <v>15</v>
      </c>
      <c r="B10" s="12" t="s">
        <v>1290</v>
      </c>
      <c r="C10" s="12" t="s">
        <v>1291</v>
      </c>
      <c r="D10" s="12" t="s">
        <v>1292</v>
      </c>
      <c r="E10" s="12" t="str">
        <f>"0,9123"</f>
        <v>0,9123</v>
      </c>
      <c r="F10" s="12" t="s">
        <v>465</v>
      </c>
      <c r="G10" s="24" t="s">
        <v>81</v>
      </c>
      <c r="H10" s="25" t="s">
        <v>120</v>
      </c>
      <c r="I10" s="25" t="s">
        <v>120</v>
      </c>
      <c r="J10" s="13"/>
      <c r="K10" s="28" t="str">
        <f>"157,5"</f>
        <v>157,5</v>
      </c>
      <c r="L10" s="13" t="str">
        <f>"143,6951"</f>
        <v>143,6951</v>
      </c>
      <c r="M10" s="12" t="s">
        <v>368</v>
      </c>
    </row>
    <row r="11" ht="12.75">
      <c r="B11" s="4" t="s">
        <v>26</v>
      </c>
    </row>
    <row r="12" spans="1:10" ht="15">
      <c r="A12" s="45" t="s">
        <v>115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3" ht="12.75">
      <c r="A13" s="7" t="s">
        <v>15</v>
      </c>
      <c r="B13" s="6" t="s">
        <v>1293</v>
      </c>
      <c r="C13" s="6" t="s">
        <v>1294</v>
      </c>
      <c r="D13" s="6" t="s">
        <v>1295</v>
      </c>
      <c r="E13" s="6" t="str">
        <f>"0,8203"</f>
        <v>0,8203</v>
      </c>
      <c r="F13" s="42" t="s">
        <v>1296</v>
      </c>
      <c r="G13" s="18" t="s">
        <v>80</v>
      </c>
      <c r="H13" s="18" t="s">
        <v>156</v>
      </c>
      <c r="I13" s="19" t="s">
        <v>38</v>
      </c>
      <c r="J13" s="7"/>
      <c r="K13" s="30" t="str">
        <f>"147,5"</f>
        <v>147,5</v>
      </c>
      <c r="L13" s="7" t="str">
        <f>"121,0016"</f>
        <v>121,0016</v>
      </c>
      <c r="M13" s="6" t="s">
        <v>1297</v>
      </c>
    </row>
    <row r="14" ht="12.75">
      <c r="B14" s="4" t="s">
        <v>26</v>
      </c>
    </row>
    <row r="15" spans="1:10" ht="15">
      <c r="A15" s="45" t="s">
        <v>107</v>
      </c>
      <c r="B15" s="45"/>
      <c r="C15" s="45"/>
      <c r="D15" s="45"/>
      <c r="E15" s="45"/>
      <c r="F15" s="45"/>
      <c r="G15" s="45"/>
      <c r="H15" s="45"/>
      <c r="I15" s="45"/>
      <c r="J15" s="45"/>
    </row>
    <row r="16" spans="1:13" ht="12.75">
      <c r="A16" s="7" t="s">
        <v>11</v>
      </c>
      <c r="B16" s="6" t="s">
        <v>952</v>
      </c>
      <c r="C16" s="6" t="s">
        <v>1298</v>
      </c>
      <c r="D16" s="6" t="s">
        <v>154</v>
      </c>
      <c r="E16" s="6" t="str">
        <f>"0,6920"</f>
        <v>0,6920</v>
      </c>
      <c r="F16" s="6" t="s">
        <v>954</v>
      </c>
      <c r="G16" s="19" t="s">
        <v>136</v>
      </c>
      <c r="H16" s="19" t="s">
        <v>145</v>
      </c>
      <c r="I16" s="19" t="s">
        <v>145</v>
      </c>
      <c r="J16" s="7"/>
      <c r="K16" s="30">
        <v>0</v>
      </c>
      <c r="L16" s="7" t="str">
        <f>"0,0000"</f>
        <v>0,0000</v>
      </c>
      <c r="M16" s="6" t="s">
        <v>955</v>
      </c>
    </row>
    <row r="17" ht="12.75">
      <c r="B17" s="4" t="s">
        <v>26</v>
      </c>
    </row>
    <row r="18" spans="1:10" ht="15">
      <c r="A18" s="45" t="s">
        <v>115</v>
      </c>
      <c r="B18" s="45"/>
      <c r="C18" s="45"/>
      <c r="D18" s="45"/>
      <c r="E18" s="45"/>
      <c r="F18" s="45"/>
      <c r="G18" s="45"/>
      <c r="H18" s="45"/>
      <c r="I18" s="45"/>
      <c r="J18" s="45"/>
    </row>
    <row r="19" spans="1:13" ht="12.75">
      <c r="A19" s="9" t="s">
        <v>15</v>
      </c>
      <c r="B19" s="8" t="s">
        <v>1299</v>
      </c>
      <c r="C19" s="8" t="s">
        <v>1300</v>
      </c>
      <c r="D19" s="8" t="s">
        <v>395</v>
      </c>
      <c r="E19" s="8" t="str">
        <f>"0,6567"</f>
        <v>0,6567</v>
      </c>
      <c r="F19" s="8" t="s">
        <v>988</v>
      </c>
      <c r="G19" s="20" t="s">
        <v>145</v>
      </c>
      <c r="H19" s="20" t="s">
        <v>267</v>
      </c>
      <c r="I19" s="21" t="s">
        <v>183</v>
      </c>
      <c r="J19" s="9"/>
      <c r="K19" s="27" t="str">
        <f>"265,0"</f>
        <v>265,0</v>
      </c>
      <c r="L19" s="9" t="str">
        <f>"174,0255"</f>
        <v>174,0255</v>
      </c>
      <c r="M19" s="8" t="s">
        <v>177</v>
      </c>
    </row>
    <row r="20" spans="1:13" ht="12.75">
      <c r="A20" s="11" t="s">
        <v>39</v>
      </c>
      <c r="B20" s="10" t="s">
        <v>1301</v>
      </c>
      <c r="C20" s="10" t="s">
        <v>1302</v>
      </c>
      <c r="D20" s="10" t="s">
        <v>174</v>
      </c>
      <c r="E20" s="10" t="str">
        <f>"0,6451"</f>
        <v>0,6451</v>
      </c>
      <c r="F20" s="41" t="s">
        <v>1303</v>
      </c>
      <c r="G20" s="22" t="s">
        <v>213</v>
      </c>
      <c r="H20" s="22" t="s">
        <v>173</v>
      </c>
      <c r="I20" s="22" t="s">
        <v>144</v>
      </c>
      <c r="J20" s="11"/>
      <c r="K20" s="29" t="str">
        <f>"245,0"</f>
        <v>245,0</v>
      </c>
      <c r="L20" s="11" t="str">
        <f>"158,0495"</f>
        <v>158,0495</v>
      </c>
      <c r="M20" s="10" t="s">
        <v>53</v>
      </c>
    </row>
    <row r="21" spans="1:13" ht="12.75">
      <c r="A21" s="11" t="s">
        <v>49</v>
      </c>
      <c r="B21" s="10" t="s">
        <v>1304</v>
      </c>
      <c r="C21" s="10" t="s">
        <v>1305</v>
      </c>
      <c r="D21" s="10" t="s">
        <v>260</v>
      </c>
      <c r="E21" s="10" t="str">
        <f>"0,6508"</f>
        <v>0,6508</v>
      </c>
      <c r="F21" s="10" t="s">
        <v>55</v>
      </c>
      <c r="G21" s="22" t="s">
        <v>150</v>
      </c>
      <c r="H21" s="22" t="s">
        <v>132</v>
      </c>
      <c r="I21" s="23" t="s">
        <v>134</v>
      </c>
      <c r="J21" s="11"/>
      <c r="K21" s="29" t="str">
        <f>"210,0"</f>
        <v>210,0</v>
      </c>
      <c r="L21" s="11" t="str">
        <f>"136,6680"</f>
        <v>136,6680</v>
      </c>
      <c r="M21" s="10" t="s">
        <v>53</v>
      </c>
    </row>
    <row r="22" spans="1:13" ht="12.75">
      <c r="A22" s="11" t="s">
        <v>15</v>
      </c>
      <c r="B22" s="10" t="s">
        <v>1306</v>
      </c>
      <c r="C22" s="10" t="s">
        <v>1307</v>
      </c>
      <c r="D22" s="10" t="s">
        <v>354</v>
      </c>
      <c r="E22" s="10" t="str">
        <f>"0,6676"</f>
        <v>0,6676</v>
      </c>
      <c r="F22" s="10" t="s">
        <v>130</v>
      </c>
      <c r="G22" s="22" t="s">
        <v>125</v>
      </c>
      <c r="H22" s="22" t="s">
        <v>150</v>
      </c>
      <c r="I22" s="22" t="s">
        <v>133</v>
      </c>
      <c r="J22" s="11"/>
      <c r="K22" s="29" t="str">
        <f>"215,0"</f>
        <v>215,0</v>
      </c>
      <c r="L22" s="11" t="str">
        <f>"153,2943"</f>
        <v>153,2943</v>
      </c>
      <c r="M22" s="10" t="s">
        <v>1308</v>
      </c>
    </row>
    <row r="23" spans="1:13" ht="12.75">
      <c r="A23" s="13" t="s">
        <v>15</v>
      </c>
      <c r="B23" s="12" t="s">
        <v>1309</v>
      </c>
      <c r="C23" s="12" t="s">
        <v>1310</v>
      </c>
      <c r="D23" s="12" t="s">
        <v>649</v>
      </c>
      <c r="E23" s="12" t="str">
        <f>"0,6545"</f>
        <v>0,6545</v>
      </c>
      <c r="F23" s="12" t="s">
        <v>55</v>
      </c>
      <c r="G23" s="24" t="s">
        <v>37</v>
      </c>
      <c r="H23" s="24" t="s">
        <v>95</v>
      </c>
      <c r="I23" s="25" t="s">
        <v>117</v>
      </c>
      <c r="J23" s="13"/>
      <c r="K23" s="28" t="str">
        <f>"160,0"</f>
        <v>160,0</v>
      </c>
      <c r="L23" s="13" t="str">
        <f>"120,1138"</f>
        <v>120,1138</v>
      </c>
      <c r="M23" s="12" t="s">
        <v>53</v>
      </c>
    </row>
    <row r="24" ht="12.75">
      <c r="B24" s="4" t="s">
        <v>26</v>
      </c>
    </row>
    <row r="25" spans="1:10" ht="15">
      <c r="A25" s="45" t="s">
        <v>118</v>
      </c>
      <c r="B25" s="45"/>
      <c r="C25" s="45"/>
      <c r="D25" s="45"/>
      <c r="E25" s="45"/>
      <c r="F25" s="45"/>
      <c r="G25" s="45"/>
      <c r="H25" s="45"/>
      <c r="I25" s="45"/>
      <c r="J25" s="45"/>
    </row>
    <row r="26" spans="1:13" ht="12.75">
      <c r="A26" s="9" t="s">
        <v>15</v>
      </c>
      <c r="B26" s="8" t="s">
        <v>1311</v>
      </c>
      <c r="C26" s="8" t="s">
        <v>1312</v>
      </c>
      <c r="D26" s="8" t="s">
        <v>692</v>
      </c>
      <c r="E26" s="8" t="str">
        <f>"0,6177"</f>
        <v>0,6177</v>
      </c>
      <c r="F26" s="39" t="s">
        <v>1313</v>
      </c>
      <c r="G26" s="20" t="s">
        <v>267</v>
      </c>
      <c r="H26" s="20" t="s">
        <v>268</v>
      </c>
      <c r="I26" s="21" t="s">
        <v>1314</v>
      </c>
      <c r="J26" s="9"/>
      <c r="K26" s="27" t="str">
        <f>"280,0"</f>
        <v>280,0</v>
      </c>
      <c r="L26" s="9" t="str">
        <f>"172,9560"</f>
        <v>172,9560</v>
      </c>
      <c r="M26" s="8" t="s">
        <v>1315</v>
      </c>
    </row>
    <row r="27" spans="1:13" ht="12.75">
      <c r="A27" s="11" t="s">
        <v>39</v>
      </c>
      <c r="B27" s="10" t="s">
        <v>1316</v>
      </c>
      <c r="C27" s="10" t="s">
        <v>1317</v>
      </c>
      <c r="D27" s="10" t="s">
        <v>1318</v>
      </c>
      <c r="E27" s="10" t="str">
        <f>"0,6359"</f>
        <v>0,6359</v>
      </c>
      <c r="F27" s="10" t="s">
        <v>155</v>
      </c>
      <c r="G27" s="22" t="s">
        <v>136</v>
      </c>
      <c r="H27" s="23" t="s">
        <v>267</v>
      </c>
      <c r="I27" s="23" t="s">
        <v>267</v>
      </c>
      <c r="J27" s="11"/>
      <c r="K27" s="29" t="str">
        <f>"250,0"</f>
        <v>250,0</v>
      </c>
      <c r="L27" s="11" t="str">
        <f>"158,9625"</f>
        <v>158,9625</v>
      </c>
      <c r="M27" s="10" t="s">
        <v>1319</v>
      </c>
    </row>
    <row r="28" spans="1:13" ht="12.75">
      <c r="A28" s="11" t="s">
        <v>49</v>
      </c>
      <c r="B28" s="10" t="s">
        <v>410</v>
      </c>
      <c r="C28" s="10" t="s">
        <v>16</v>
      </c>
      <c r="D28" s="10" t="s">
        <v>411</v>
      </c>
      <c r="E28" s="10" t="str">
        <f>"0,6133"</f>
        <v>0,6133</v>
      </c>
      <c r="F28" s="10" t="s">
        <v>412</v>
      </c>
      <c r="G28" s="22" t="s">
        <v>140</v>
      </c>
      <c r="H28" s="23" t="s">
        <v>147</v>
      </c>
      <c r="I28" s="23" t="s">
        <v>147</v>
      </c>
      <c r="J28" s="11"/>
      <c r="K28" s="29" t="str">
        <f>"230,0"</f>
        <v>230,0</v>
      </c>
      <c r="L28" s="11" t="str">
        <f>"141,0705"</f>
        <v>141,0705</v>
      </c>
      <c r="M28" s="10" t="s">
        <v>53</v>
      </c>
    </row>
    <row r="29" spans="1:13" ht="12.75">
      <c r="A29" s="11" t="s">
        <v>11</v>
      </c>
      <c r="B29" s="10" t="s">
        <v>1320</v>
      </c>
      <c r="C29" s="10" t="s">
        <v>1321</v>
      </c>
      <c r="D29" s="10" t="s">
        <v>188</v>
      </c>
      <c r="E29" s="10" t="str">
        <f>"0,6161"</f>
        <v>0,6161</v>
      </c>
      <c r="F29" s="10" t="s">
        <v>161</v>
      </c>
      <c r="G29" s="23" t="s">
        <v>125</v>
      </c>
      <c r="H29" s="23" t="s">
        <v>125</v>
      </c>
      <c r="I29" s="23" t="s">
        <v>125</v>
      </c>
      <c r="J29" s="11"/>
      <c r="K29" s="29">
        <v>0</v>
      </c>
      <c r="L29" s="11" t="str">
        <f>"0,0000"</f>
        <v>0,0000</v>
      </c>
      <c r="M29" s="10" t="s">
        <v>1322</v>
      </c>
    </row>
    <row r="30" spans="1:13" ht="12.75">
      <c r="A30" s="13" t="s">
        <v>15</v>
      </c>
      <c r="B30" s="12" t="s">
        <v>1323</v>
      </c>
      <c r="C30" s="12" t="s">
        <v>1324</v>
      </c>
      <c r="D30" s="12" t="s">
        <v>1007</v>
      </c>
      <c r="E30" s="12" t="str">
        <f>"0,6130"</f>
        <v>0,6130</v>
      </c>
      <c r="F30" s="12" t="s">
        <v>441</v>
      </c>
      <c r="G30" s="24" t="s">
        <v>134</v>
      </c>
      <c r="H30" s="25" t="s">
        <v>147</v>
      </c>
      <c r="I30" s="25" t="s">
        <v>145</v>
      </c>
      <c r="J30" s="13"/>
      <c r="K30" s="28" t="str">
        <f>"220,0"</f>
        <v>220,0</v>
      </c>
      <c r="L30" s="13" t="str">
        <f>"134,8600"</f>
        <v>134,8600</v>
      </c>
      <c r="M30" s="12" t="s">
        <v>53</v>
      </c>
    </row>
    <row r="31" ht="12.75">
      <c r="B31" s="4" t="s">
        <v>26</v>
      </c>
    </row>
    <row r="32" spans="1:10" ht="15">
      <c r="A32" s="45" t="s">
        <v>190</v>
      </c>
      <c r="B32" s="45"/>
      <c r="C32" s="45"/>
      <c r="D32" s="45"/>
      <c r="E32" s="45"/>
      <c r="F32" s="45"/>
      <c r="G32" s="45"/>
      <c r="H32" s="45"/>
      <c r="I32" s="45"/>
      <c r="J32" s="45"/>
    </row>
    <row r="33" spans="1:13" ht="12.75">
      <c r="A33" s="9" t="s">
        <v>11</v>
      </c>
      <c r="B33" s="8" t="s">
        <v>1228</v>
      </c>
      <c r="C33" s="8" t="s">
        <v>1229</v>
      </c>
      <c r="D33" s="8" t="s">
        <v>1230</v>
      </c>
      <c r="E33" s="8" t="str">
        <f>"0,6000"</f>
        <v>0,6000</v>
      </c>
      <c r="F33" s="8" t="s">
        <v>1231</v>
      </c>
      <c r="G33" s="21" t="s">
        <v>278</v>
      </c>
      <c r="H33" s="21" t="s">
        <v>278</v>
      </c>
      <c r="I33" s="21" t="s">
        <v>278</v>
      </c>
      <c r="J33" s="9"/>
      <c r="K33" s="27">
        <v>0</v>
      </c>
      <c r="L33" s="9" t="str">
        <f>"0,0000"</f>
        <v>0,0000</v>
      </c>
      <c r="M33" s="8" t="s">
        <v>380</v>
      </c>
    </row>
    <row r="34" spans="1:13" ht="12.75">
      <c r="A34" s="11" t="s">
        <v>15</v>
      </c>
      <c r="B34" s="10" t="s">
        <v>1325</v>
      </c>
      <c r="C34" s="10" t="s">
        <v>1326</v>
      </c>
      <c r="D34" s="10" t="s">
        <v>776</v>
      </c>
      <c r="E34" s="10" t="str">
        <f>"0,5831"</f>
        <v>0,5831</v>
      </c>
      <c r="F34" s="10" t="s">
        <v>331</v>
      </c>
      <c r="G34" s="22" t="s">
        <v>125</v>
      </c>
      <c r="H34" s="23" t="s">
        <v>134</v>
      </c>
      <c r="I34" s="23" t="s">
        <v>134</v>
      </c>
      <c r="J34" s="11"/>
      <c r="K34" s="29" t="str">
        <f>"200,0"</f>
        <v>200,0</v>
      </c>
      <c r="L34" s="11" t="str">
        <f>"133,7517"</f>
        <v>133,7517</v>
      </c>
      <c r="M34" s="10" t="s">
        <v>789</v>
      </c>
    </row>
    <row r="35" spans="1:13" ht="12.75">
      <c r="A35" s="13" t="s">
        <v>15</v>
      </c>
      <c r="B35" s="12" t="s">
        <v>1076</v>
      </c>
      <c r="C35" s="12" t="s">
        <v>1077</v>
      </c>
      <c r="D35" s="12" t="s">
        <v>286</v>
      </c>
      <c r="E35" s="12" t="str">
        <f>"0,5853"</f>
        <v>0,5853</v>
      </c>
      <c r="F35" s="12" t="s">
        <v>1078</v>
      </c>
      <c r="G35" s="24" t="s">
        <v>169</v>
      </c>
      <c r="H35" s="24" t="s">
        <v>280</v>
      </c>
      <c r="I35" s="24" t="s">
        <v>140</v>
      </c>
      <c r="J35" s="13"/>
      <c r="K35" s="28" t="str">
        <f>"230,0"</f>
        <v>230,0</v>
      </c>
      <c r="L35" s="13" t="str">
        <f>"183,9053"</f>
        <v>183,9053</v>
      </c>
      <c r="M35" s="12" t="s">
        <v>1327</v>
      </c>
    </row>
    <row r="36" ht="12.75">
      <c r="B36" s="4" t="s">
        <v>26</v>
      </c>
    </row>
    <row r="37" spans="1:10" ht="15">
      <c r="A37" s="45" t="s">
        <v>201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3" ht="12.75">
      <c r="A38" s="9" t="s">
        <v>15</v>
      </c>
      <c r="B38" s="8" t="s">
        <v>1328</v>
      </c>
      <c r="C38" s="8" t="s">
        <v>1329</v>
      </c>
      <c r="D38" s="8" t="s">
        <v>1330</v>
      </c>
      <c r="E38" s="8" t="str">
        <f>"0,5755"</f>
        <v>0,5755</v>
      </c>
      <c r="F38" s="39" t="s">
        <v>1331</v>
      </c>
      <c r="G38" s="20" t="s">
        <v>278</v>
      </c>
      <c r="H38" s="20" t="s">
        <v>209</v>
      </c>
      <c r="I38" s="21" t="s">
        <v>382</v>
      </c>
      <c r="J38" s="9"/>
      <c r="K38" s="27" t="str">
        <f>"310,0"</f>
        <v>310,0</v>
      </c>
      <c r="L38" s="9" t="str">
        <f>"178,3895"</f>
        <v>178,3895</v>
      </c>
      <c r="M38" s="8" t="s">
        <v>1332</v>
      </c>
    </row>
    <row r="39" spans="1:13" ht="12.75">
      <c r="A39" s="11" t="s">
        <v>39</v>
      </c>
      <c r="B39" s="10" t="s">
        <v>1333</v>
      </c>
      <c r="C39" s="10" t="s">
        <v>1334</v>
      </c>
      <c r="D39" s="10" t="s">
        <v>301</v>
      </c>
      <c r="E39" s="10" t="str">
        <f>"0,5638"</f>
        <v>0,5638</v>
      </c>
      <c r="F39" s="10" t="s">
        <v>176</v>
      </c>
      <c r="G39" s="22" t="s">
        <v>181</v>
      </c>
      <c r="H39" s="23" t="s">
        <v>268</v>
      </c>
      <c r="I39" s="22" t="s">
        <v>356</v>
      </c>
      <c r="J39" s="11"/>
      <c r="K39" s="29" t="str">
        <f>"282,5"</f>
        <v>282,5</v>
      </c>
      <c r="L39" s="11" t="str">
        <f>"159,2735"</f>
        <v>159,2735</v>
      </c>
      <c r="M39" s="10" t="s">
        <v>53</v>
      </c>
    </row>
    <row r="40" spans="1:13" ht="12.75">
      <c r="A40" s="11" t="s">
        <v>49</v>
      </c>
      <c r="B40" s="10" t="s">
        <v>1335</v>
      </c>
      <c r="C40" s="10" t="s">
        <v>1336</v>
      </c>
      <c r="D40" s="10" t="s">
        <v>1088</v>
      </c>
      <c r="E40" s="10" t="str">
        <f>"0,5681"</f>
        <v>0,5681</v>
      </c>
      <c r="F40" s="10" t="s">
        <v>142</v>
      </c>
      <c r="G40" s="22" t="s">
        <v>171</v>
      </c>
      <c r="H40" s="22" t="s">
        <v>283</v>
      </c>
      <c r="I40" s="23" t="s">
        <v>183</v>
      </c>
      <c r="J40" s="11"/>
      <c r="K40" s="29" t="str">
        <f>"272,5"</f>
        <v>272,5</v>
      </c>
      <c r="L40" s="11" t="str">
        <f>"154,8072"</f>
        <v>154,8072</v>
      </c>
      <c r="M40" s="10" t="s">
        <v>1337</v>
      </c>
    </row>
    <row r="41" spans="1:13" ht="12.75">
      <c r="A41" s="11" t="s">
        <v>65</v>
      </c>
      <c r="B41" s="10" t="s">
        <v>1338</v>
      </c>
      <c r="C41" s="10" t="s">
        <v>1339</v>
      </c>
      <c r="D41" s="10" t="s">
        <v>1340</v>
      </c>
      <c r="E41" s="10" t="str">
        <f>"0,5671"</f>
        <v>0,5671</v>
      </c>
      <c r="F41" s="10" t="s">
        <v>352</v>
      </c>
      <c r="G41" s="22" t="s">
        <v>140</v>
      </c>
      <c r="H41" s="22" t="s">
        <v>147</v>
      </c>
      <c r="I41" s="23" t="s">
        <v>144</v>
      </c>
      <c r="J41" s="11"/>
      <c r="K41" s="29" t="str">
        <f>"240,0"</f>
        <v>240,0</v>
      </c>
      <c r="L41" s="11" t="str">
        <f>"136,1040"</f>
        <v>136,1040</v>
      </c>
      <c r="M41" s="10" t="s">
        <v>1341</v>
      </c>
    </row>
    <row r="42" spans="1:13" ht="12.75">
      <c r="A42" s="11" t="s">
        <v>15</v>
      </c>
      <c r="B42" s="10" t="s">
        <v>1333</v>
      </c>
      <c r="C42" s="10" t="s">
        <v>1342</v>
      </c>
      <c r="D42" s="10" t="s">
        <v>301</v>
      </c>
      <c r="E42" s="10" t="str">
        <f>"0,5638"</f>
        <v>0,5638</v>
      </c>
      <c r="F42" s="10" t="s">
        <v>176</v>
      </c>
      <c r="G42" s="22" t="s">
        <v>181</v>
      </c>
      <c r="H42" s="23" t="s">
        <v>268</v>
      </c>
      <c r="I42" s="22" t="s">
        <v>356</v>
      </c>
      <c r="J42" s="11"/>
      <c r="K42" s="29" t="str">
        <f>"282,5"</f>
        <v>282,5</v>
      </c>
      <c r="L42" s="11" t="str">
        <f>"168,0335"</f>
        <v>168,0335</v>
      </c>
      <c r="M42" s="10" t="s">
        <v>53</v>
      </c>
    </row>
    <row r="43" spans="1:13" ht="12.75">
      <c r="A43" s="11" t="s">
        <v>39</v>
      </c>
      <c r="B43" s="10" t="s">
        <v>1343</v>
      </c>
      <c r="C43" s="10" t="s">
        <v>1344</v>
      </c>
      <c r="D43" s="10" t="s">
        <v>1345</v>
      </c>
      <c r="E43" s="10" t="str">
        <f>"0,5664"</f>
        <v>0,5664</v>
      </c>
      <c r="F43" s="41" t="s">
        <v>1346</v>
      </c>
      <c r="G43" s="22" t="s">
        <v>180</v>
      </c>
      <c r="H43" s="22" t="s">
        <v>181</v>
      </c>
      <c r="I43" s="23" t="s">
        <v>183</v>
      </c>
      <c r="J43" s="11"/>
      <c r="K43" s="29" t="str">
        <f>"270,0"</f>
        <v>270,0</v>
      </c>
      <c r="L43" s="11" t="str">
        <f>"161,3533"</f>
        <v>161,3533</v>
      </c>
      <c r="M43" s="10" t="s">
        <v>53</v>
      </c>
    </row>
    <row r="44" spans="1:13" ht="12.75">
      <c r="A44" s="11" t="s">
        <v>49</v>
      </c>
      <c r="B44" s="10" t="s">
        <v>1338</v>
      </c>
      <c r="C44" s="10" t="s">
        <v>1347</v>
      </c>
      <c r="D44" s="10" t="s">
        <v>1340</v>
      </c>
      <c r="E44" s="10" t="str">
        <f>"0,5671"</f>
        <v>0,5671</v>
      </c>
      <c r="F44" s="10" t="s">
        <v>352</v>
      </c>
      <c r="G44" s="22" t="s">
        <v>140</v>
      </c>
      <c r="H44" s="22" t="s">
        <v>147</v>
      </c>
      <c r="I44" s="23" t="s">
        <v>144</v>
      </c>
      <c r="J44" s="11"/>
      <c r="K44" s="29" t="str">
        <f>"240,0"</f>
        <v>240,0</v>
      </c>
      <c r="L44" s="11" t="str">
        <f>"145,3591"</f>
        <v>145,3591</v>
      </c>
      <c r="M44" s="10" t="s">
        <v>1341</v>
      </c>
    </row>
    <row r="45" spans="1:13" ht="12.75">
      <c r="A45" s="13" t="s">
        <v>15</v>
      </c>
      <c r="B45" s="12" t="s">
        <v>1269</v>
      </c>
      <c r="C45" s="12" t="s">
        <v>1270</v>
      </c>
      <c r="D45" s="12" t="s">
        <v>1094</v>
      </c>
      <c r="E45" s="12" t="str">
        <f>"0,5645"</f>
        <v>0,5645</v>
      </c>
      <c r="F45" s="12" t="s">
        <v>1271</v>
      </c>
      <c r="G45" s="24" t="s">
        <v>126</v>
      </c>
      <c r="H45" s="24" t="s">
        <v>128</v>
      </c>
      <c r="I45" s="25" t="s">
        <v>133</v>
      </c>
      <c r="J45" s="13"/>
      <c r="K45" s="28" t="str">
        <f>"190,0"</f>
        <v>190,0</v>
      </c>
      <c r="L45" s="13" t="str">
        <f>"138,4785"</f>
        <v>138,4785</v>
      </c>
      <c r="M45" s="12" t="s">
        <v>53</v>
      </c>
    </row>
    <row r="46" ht="12.75">
      <c r="B46" s="4" t="s">
        <v>26</v>
      </c>
    </row>
    <row r="47" spans="1:10" ht="15">
      <c r="A47" s="45" t="s">
        <v>208</v>
      </c>
      <c r="B47" s="45"/>
      <c r="C47" s="45"/>
      <c r="D47" s="45"/>
      <c r="E47" s="45"/>
      <c r="F47" s="45"/>
      <c r="G47" s="45"/>
      <c r="H47" s="45"/>
      <c r="I47" s="45"/>
      <c r="J47" s="45"/>
    </row>
    <row r="48" spans="1:13" ht="12.75">
      <c r="A48" s="9" t="s">
        <v>15</v>
      </c>
      <c r="B48" s="8" t="s">
        <v>1348</v>
      </c>
      <c r="C48" s="8" t="s">
        <v>1349</v>
      </c>
      <c r="D48" s="8" t="s">
        <v>1350</v>
      </c>
      <c r="E48" s="8" t="str">
        <f>"0,5490"</f>
        <v>0,5490</v>
      </c>
      <c r="F48" s="8" t="s">
        <v>1296</v>
      </c>
      <c r="G48" s="20" t="s">
        <v>210</v>
      </c>
      <c r="H48" s="20" t="s">
        <v>211</v>
      </c>
      <c r="I48" s="20" t="s">
        <v>317</v>
      </c>
      <c r="J48" s="9"/>
      <c r="K48" s="27" t="str">
        <f>"350,0"</f>
        <v>350,0</v>
      </c>
      <c r="L48" s="9" t="str">
        <f>"192,1675"</f>
        <v>192,1675</v>
      </c>
      <c r="M48" s="8" t="s">
        <v>53</v>
      </c>
    </row>
    <row r="49" spans="1:13" ht="12.75">
      <c r="A49" s="11" t="s">
        <v>39</v>
      </c>
      <c r="B49" s="10" t="s">
        <v>1351</v>
      </c>
      <c r="C49" s="10" t="s">
        <v>1352</v>
      </c>
      <c r="D49" s="10" t="s">
        <v>1353</v>
      </c>
      <c r="E49" s="10" t="str">
        <f>"0,5509"</f>
        <v>0,5509</v>
      </c>
      <c r="F49" s="10" t="s">
        <v>1346</v>
      </c>
      <c r="G49" s="22" t="s">
        <v>278</v>
      </c>
      <c r="H49" s="23" t="s">
        <v>209</v>
      </c>
      <c r="I49" s="23" t="s">
        <v>209</v>
      </c>
      <c r="J49" s="11"/>
      <c r="K49" s="29" t="str">
        <f>"300,0"</f>
        <v>300,0</v>
      </c>
      <c r="L49" s="11" t="str">
        <f>"165,2850"</f>
        <v>165,2850</v>
      </c>
      <c r="M49" s="10" t="s">
        <v>53</v>
      </c>
    </row>
    <row r="50" spans="1:13" ht="12.75">
      <c r="A50" s="11" t="s">
        <v>15</v>
      </c>
      <c r="B50" s="10" t="s">
        <v>1348</v>
      </c>
      <c r="C50" s="10" t="s">
        <v>1354</v>
      </c>
      <c r="D50" s="10" t="s">
        <v>1350</v>
      </c>
      <c r="E50" s="10" t="str">
        <f>"0,5490"</f>
        <v>0,5490</v>
      </c>
      <c r="F50" s="10" t="s">
        <v>1296</v>
      </c>
      <c r="G50" s="22" t="s">
        <v>210</v>
      </c>
      <c r="H50" s="22" t="s">
        <v>211</v>
      </c>
      <c r="I50" s="22" t="s">
        <v>317</v>
      </c>
      <c r="J50" s="11"/>
      <c r="K50" s="29" t="str">
        <f>"350,0"</f>
        <v>350,0</v>
      </c>
      <c r="L50" s="11" t="str">
        <f>"194,0892"</f>
        <v>194,0892</v>
      </c>
      <c r="M50" s="10" t="s">
        <v>53</v>
      </c>
    </row>
    <row r="51" spans="1:13" ht="12.75">
      <c r="A51" s="13" t="s">
        <v>39</v>
      </c>
      <c r="B51" s="12" t="s">
        <v>1355</v>
      </c>
      <c r="C51" s="12" t="s">
        <v>1356</v>
      </c>
      <c r="D51" s="12" t="s">
        <v>1357</v>
      </c>
      <c r="E51" s="12" t="str">
        <f>"0,5522"</f>
        <v>0,5522</v>
      </c>
      <c r="F51" s="12" t="s">
        <v>352</v>
      </c>
      <c r="G51" s="24" t="s">
        <v>147</v>
      </c>
      <c r="H51" s="24" t="s">
        <v>136</v>
      </c>
      <c r="I51" s="25" t="s">
        <v>180</v>
      </c>
      <c r="J51" s="13"/>
      <c r="K51" s="28" t="str">
        <f>"250,0"</f>
        <v>250,0</v>
      </c>
      <c r="L51" s="13" t="str">
        <f>"139,4305"</f>
        <v>139,4305</v>
      </c>
      <c r="M51" s="12" t="s">
        <v>1341</v>
      </c>
    </row>
    <row r="52" ht="12.75">
      <c r="B52" s="4" t="s">
        <v>26</v>
      </c>
    </row>
    <row r="53" spans="1:10" ht="15">
      <c r="A53" s="45" t="s">
        <v>214</v>
      </c>
      <c r="B53" s="45"/>
      <c r="C53" s="45"/>
      <c r="D53" s="45"/>
      <c r="E53" s="45"/>
      <c r="F53" s="45"/>
      <c r="G53" s="45"/>
      <c r="H53" s="45"/>
      <c r="I53" s="45"/>
      <c r="J53" s="45"/>
    </row>
    <row r="54" spans="1:13" ht="12.75">
      <c r="A54" s="9" t="s">
        <v>15</v>
      </c>
      <c r="B54" s="8" t="s">
        <v>1175</v>
      </c>
      <c r="C54" s="8" t="s">
        <v>1176</v>
      </c>
      <c r="D54" s="8" t="s">
        <v>1177</v>
      </c>
      <c r="E54" s="8" t="str">
        <f>"0,5319"</f>
        <v>0,5319</v>
      </c>
      <c r="F54" s="8" t="s">
        <v>199</v>
      </c>
      <c r="G54" s="20" t="s">
        <v>215</v>
      </c>
      <c r="H54" s="20" t="s">
        <v>209</v>
      </c>
      <c r="I54" s="20" t="s">
        <v>303</v>
      </c>
      <c r="J54" s="9"/>
      <c r="K54" s="27" t="str">
        <f>"320,0"</f>
        <v>320,0</v>
      </c>
      <c r="L54" s="9" t="str">
        <f>"170,1952"</f>
        <v>170,1952</v>
      </c>
      <c r="M54" s="8" t="s">
        <v>53</v>
      </c>
    </row>
    <row r="55" spans="1:13" ht="12.75">
      <c r="A55" s="11" t="s">
        <v>15</v>
      </c>
      <c r="B55" s="10" t="s">
        <v>1175</v>
      </c>
      <c r="C55" s="10" t="s">
        <v>1178</v>
      </c>
      <c r="D55" s="10" t="s">
        <v>1177</v>
      </c>
      <c r="E55" s="10" t="str">
        <f>"0,5319"</f>
        <v>0,5319</v>
      </c>
      <c r="F55" s="10" t="s">
        <v>199</v>
      </c>
      <c r="G55" s="22" t="s">
        <v>215</v>
      </c>
      <c r="H55" s="22" t="s">
        <v>209</v>
      </c>
      <c r="I55" s="22" t="s">
        <v>303</v>
      </c>
      <c r="J55" s="11"/>
      <c r="K55" s="29" t="str">
        <f>"320,0"</f>
        <v>320,0</v>
      </c>
      <c r="L55" s="11" t="str">
        <f>"219,7220"</f>
        <v>219,7220</v>
      </c>
      <c r="M55" s="10" t="s">
        <v>53</v>
      </c>
    </row>
    <row r="56" spans="1:13" ht="12.75">
      <c r="A56" s="13" t="s">
        <v>39</v>
      </c>
      <c r="B56" s="12" t="s">
        <v>1358</v>
      </c>
      <c r="C56" s="12" t="s">
        <v>1359</v>
      </c>
      <c r="D56" s="12" t="s">
        <v>1360</v>
      </c>
      <c r="E56" s="12" t="str">
        <f>"0,5416"</f>
        <v>0,5416</v>
      </c>
      <c r="F56" s="12" t="s">
        <v>55</v>
      </c>
      <c r="G56" s="25" t="s">
        <v>268</v>
      </c>
      <c r="H56" s="24" t="s">
        <v>268</v>
      </c>
      <c r="I56" s="24" t="s">
        <v>215</v>
      </c>
      <c r="J56" s="13"/>
      <c r="K56" s="28" t="str">
        <f>"290,0"</f>
        <v>290,0</v>
      </c>
      <c r="L56" s="13" t="str">
        <f>"180,1524"</f>
        <v>180,1524</v>
      </c>
      <c r="M56" s="12" t="s">
        <v>53</v>
      </c>
    </row>
    <row r="57" ht="12.75">
      <c r="B57" s="4" t="s">
        <v>26</v>
      </c>
    </row>
    <row r="58" ht="12.75">
      <c r="B58" s="4" t="s">
        <v>26</v>
      </c>
    </row>
    <row r="59" ht="12.75">
      <c r="B59" s="4" t="s">
        <v>26</v>
      </c>
    </row>
    <row r="60" spans="2:6" ht="18">
      <c r="B60" s="14" t="s">
        <v>218</v>
      </c>
      <c r="C60" s="14"/>
      <c r="F60" s="3"/>
    </row>
    <row r="61" spans="2:6" ht="15">
      <c r="B61" s="44" t="s">
        <v>229</v>
      </c>
      <c r="C61" s="44"/>
      <c r="F61" s="3"/>
    </row>
    <row r="62" spans="2:6" ht="14.25">
      <c r="B62" s="15"/>
      <c r="C62" s="16" t="s">
        <v>220</v>
      </c>
      <c r="F62" s="3"/>
    </row>
    <row r="63" spans="2:6" ht="15">
      <c r="B63" s="17" t="s">
        <v>221</v>
      </c>
      <c r="C63" s="17" t="s">
        <v>222</v>
      </c>
      <c r="D63" s="17" t="s">
        <v>223</v>
      </c>
      <c r="E63" s="17" t="s">
        <v>879</v>
      </c>
      <c r="F63" s="17" t="s">
        <v>1281</v>
      </c>
    </row>
    <row r="64" spans="2:6" ht="12.75">
      <c r="B64" s="4" t="s">
        <v>1348</v>
      </c>
      <c r="C64" s="4" t="s">
        <v>220</v>
      </c>
      <c r="D64" s="5" t="s">
        <v>234</v>
      </c>
      <c r="E64" s="5" t="s">
        <v>317</v>
      </c>
      <c r="F64" s="5" t="s">
        <v>1361</v>
      </c>
    </row>
    <row r="65" spans="2:6" ht="12.75">
      <c r="B65" s="4" t="s">
        <v>1328</v>
      </c>
      <c r="C65" s="4" t="s">
        <v>220</v>
      </c>
      <c r="D65" s="5" t="s">
        <v>323</v>
      </c>
      <c r="E65" s="5" t="s">
        <v>209</v>
      </c>
      <c r="F65" s="5" t="s">
        <v>1362</v>
      </c>
    </row>
    <row r="66" spans="2:6" ht="12.75">
      <c r="B66" s="4" t="s">
        <v>1299</v>
      </c>
      <c r="C66" s="4" t="s">
        <v>220</v>
      </c>
      <c r="D66" s="5" t="s">
        <v>232</v>
      </c>
      <c r="E66" s="5" t="s">
        <v>267</v>
      </c>
      <c r="F66" s="5" t="s">
        <v>1363</v>
      </c>
    </row>
    <row r="68" spans="2:3" ht="14.25">
      <c r="B68" s="15"/>
      <c r="C68" s="16" t="s">
        <v>238</v>
      </c>
    </row>
    <row r="69" spans="2:6" ht="15">
      <c r="B69" s="17" t="s">
        <v>221</v>
      </c>
      <c r="C69" s="17" t="s">
        <v>222</v>
      </c>
      <c r="D69" s="17" t="s">
        <v>223</v>
      </c>
      <c r="E69" s="17" t="s">
        <v>879</v>
      </c>
      <c r="F69" s="17" t="s">
        <v>1281</v>
      </c>
    </row>
    <row r="70" spans="2:6" ht="12.75">
      <c r="B70" s="4" t="s">
        <v>1175</v>
      </c>
      <c r="C70" s="4" t="s">
        <v>239</v>
      </c>
      <c r="D70" s="5" t="s">
        <v>235</v>
      </c>
      <c r="E70" s="5" t="s">
        <v>303</v>
      </c>
      <c r="F70" s="5" t="s">
        <v>1364</v>
      </c>
    </row>
    <row r="71" spans="2:6" ht="12.75">
      <c r="B71" s="4" t="s">
        <v>1348</v>
      </c>
      <c r="C71" s="4" t="s">
        <v>242</v>
      </c>
      <c r="D71" s="5" t="s">
        <v>234</v>
      </c>
      <c r="E71" s="5" t="s">
        <v>317</v>
      </c>
      <c r="F71" s="5" t="s">
        <v>1365</v>
      </c>
    </row>
    <row r="72" spans="2:6" ht="12.75">
      <c r="B72" s="4" t="s">
        <v>1076</v>
      </c>
      <c r="C72" s="4" t="s">
        <v>415</v>
      </c>
      <c r="D72" s="5" t="s">
        <v>241</v>
      </c>
      <c r="E72" s="5" t="s">
        <v>140</v>
      </c>
      <c r="F72" s="5" t="s">
        <v>1366</v>
      </c>
    </row>
    <row r="73" ht="12.75">
      <c r="B73" s="4" t="s">
        <v>26</v>
      </c>
    </row>
  </sheetData>
  <sheetProtection/>
  <mergeCells count="21">
    <mergeCell ref="G3:J3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A37:J37"/>
    <mergeCell ref="A47:J47"/>
    <mergeCell ref="A53:J53"/>
    <mergeCell ref="B3:B4"/>
    <mergeCell ref="A8:J8"/>
    <mergeCell ref="A12:J12"/>
    <mergeCell ref="A15:J15"/>
    <mergeCell ref="A18:J18"/>
    <mergeCell ref="A25:J25"/>
    <mergeCell ref="A32:J3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F26" sqref="F26"/>
    </sheetView>
  </sheetViews>
  <sheetFormatPr defaultColWidth="9.125" defaultRowHeight="12.75"/>
  <cols>
    <col min="1" max="1" width="7.375" style="4" bestFit="1" customWidth="1"/>
    <col min="2" max="2" width="20.00390625" style="4" bestFit="1" customWidth="1"/>
    <col min="3" max="3" width="27.375" style="4" bestFit="1" customWidth="1"/>
    <col min="4" max="4" width="18.875" style="4" customWidth="1"/>
    <col min="5" max="5" width="10.375" style="4" bestFit="1" customWidth="1"/>
    <col min="6" max="6" width="21.625" style="4" customWidth="1"/>
    <col min="7" max="10" width="5.375" style="5" customWidth="1"/>
    <col min="11" max="11" width="10.375" style="5" bestFit="1" customWidth="1"/>
    <col min="12" max="12" width="8.375" style="5" bestFit="1" customWidth="1"/>
    <col min="13" max="13" width="20.75390625" style="4" customWidth="1"/>
    <col min="14" max="16384" width="9.125" style="3" customWidth="1"/>
  </cols>
  <sheetData>
    <row r="1" spans="1:13" s="2" customFormat="1" ht="28.5" customHeight="1">
      <c r="A1" s="56" t="s">
        <v>1367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1.5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0</v>
      </c>
      <c r="B3" s="54" t="s">
        <v>1</v>
      </c>
      <c r="C3" s="66" t="s">
        <v>2</v>
      </c>
      <c r="D3" s="66" t="s">
        <v>3</v>
      </c>
      <c r="E3" s="48" t="s">
        <v>1236</v>
      </c>
      <c r="F3" s="48" t="s">
        <v>5</v>
      </c>
      <c r="G3" s="48" t="s">
        <v>6</v>
      </c>
      <c r="H3" s="48"/>
      <c r="I3" s="48"/>
      <c r="J3" s="48"/>
      <c r="K3" s="48" t="s">
        <v>417</v>
      </c>
      <c r="L3" s="48" t="s">
        <v>7</v>
      </c>
      <c r="M3" s="50" t="s">
        <v>8</v>
      </c>
    </row>
    <row r="4" spans="1:13" s="1" customFormat="1" ht="21" customHeight="1" thickBot="1">
      <c r="A4" s="65"/>
      <c r="B4" s="55"/>
      <c r="C4" s="49"/>
      <c r="D4" s="49"/>
      <c r="E4" s="49"/>
      <c r="F4" s="49"/>
      <c r="G4" s="43">
        <v>1</v>
      </c>
      <c r="H4" s="43">
        <v>2</v>
      </c>
      <c r="I4" s="43">
        <v>3</v>
      </c>
      <c r="J4" s="43" t="s">
        <v>9</v>
      </c>
      <c r="K4" s="49"/>
      <c r="L4" s="49"/>
      <c r="M4" s="51"/>
    </row>
    <row r="5" spans="1:10" ht="15">
      <c r="A5" s="52" t="s">
        <v>107</v>
      </c>
      <c r="B5" s="52"/>
      <c r="C5" s="53"/>
      <c r="D5" s="53"/>
      <c r="E5" s="53"/>
      <c r="F5" s="53"/>
      <c r="G5" s="53"/>
      <c r="H5" s="53"/>
      <c r="I5" s="53"/>
      <c r="J5" s="53"/>
    </row>
    <row r="6" spans="1:13" ht="12.75">
      <c r="A6" s="7" t="s">
        <v>15</v>
      </c>
      <c r="B6" s="6" t="s">
        <v>573</v>
      </c>
      <c r="C6" s="6" t="s">
        <v>574</v>
      </c>
      <c r="D6" s="6" t="s">
        <v>391</v>
      </c>
      <c r="E6" s="6" t="str">
        <f>"0,6990"</f>
        <v>0,6990</v>
      </c>
      <c r="F6" s="6" t="s">
        <v>55</v>
      </c>
      <c r="G6" s="19" t="s">
        <v>125</v>
      </c>
      <c r="H6" s="18" t="s">
        <v>125</v>
      </c>
      <c r="I6" s="18" t="s">
        <v>132</v>
      </c>
      <c r="J6" s="7"/>
      <c r="K6" s="7" t="str">
        <f>"210,0"</f>
        <v>210,0</v>
      </c>
      <c r="L6" s="7" t="str">
        <f>"146,7900"</f>
        <v>146,7900</v>
      </c>
      <c r="M6" s="6" t="s">
        <v>575</v>
      </c>
    </row>
    <row r="7" ht="12.75">
      <c r="B7" s="4" t="s">
        <v>26</v>
      </c>
    </row>
    <row r="8" spans="1:10" ht="15">
      <c r="A8" s="45" t="s">
        <v>115</v>
      </c>
      <c r="B8" s="45"/>
      <c r="C8" s="45"/>
      <c r="D8" s="45"/>
      <c r="E8" s="45"/>
      <c r="F8" s="45"/>
      <c r="G8" s="45"/>
      <c r="H8" s="45"/>
      <c r="I8" s="45"/>
      <c r="J8" s="45"/>
    </row>
    <row r="9" spans="1:13" ht="12.75">
      <c r="A9" s="7" t="s">
        <v>15</v>
      </c>
      <c r="B9" s="6" t="s">
        <v>1368</v>
      </c>
      <c r="C9" s="6" t="s">
        <v>589</v>
      </c>
      <c r="D9" s="6" t="s">
        <v>273</v>
      </c>
      <c r="E9" s="6" t="str">
        <f>"0,6456"</f>
        <v>0,6456</v>
      </c>
      <c r="F9" s="6" t="s">
        <v>624</v>
      </c>
      <c r="G9" s="18" t="s">
        <v>1369</v>
      </c>
      <c r="H9" s="18" t="s">
        <v>180</v>
      </c>
      <c r="I9" s="18" t="s">
        <v>267</v>
      </c>
      <c r="J9" s="18" t="s">
        <v>181</v>
      </c>
      <c r="K9" s="7" t="str">
        <f>"265,0"</f>
        <v>265,0</v>
      </c>
      <c r="L9" s="7" t="str">
        <f>"171,0840"</f>
        <v>171,0840</v>
      </c>
      <c r="M9" s="6" t="s">
        <v>53</v>
      </c>
    </row>
    <row r="10" ht="12.75">
      <c r="B10" s="4" t="s">
        <v>26</v>
      </c>
    </row>
    <row r="11" spans="1:10" ht="15">
      <c r="A11" s="45" t="s">
        <v>190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3" ht="12.75">
      <c r="A12" s="7" t="s">
        <v>15</v>
      </c>
      <c r="B12" s="6" t="s">
        <v>1370</v>
      </c>
      <c r="C12" s="6" t="s">
        <v>1371</v>
      </c>
      <c r="D12" s="6" t="s">
        <v>194</v>
      </c>
      <c r="E12" s="6" t="str">
        <f>"0,5859"</f>
        <v>0,5859</v>
      </c>
      <c r="F12" s="6" t="s">
        <v>55</v>
      </c>
      <c r="G12" s="18" t="s">
        <v>95</v>
      </c>
      <c r="H12" s="18" t="s">
        <v>126</v>
      </c>
      <c r="I12" s="18" t="s">
        <v>125</v>
      </c>
      <c r="J12" s="7"/>
      <c r="K12" s="7" t="str">
        <f>"200,0"</f>
        <v>200,0</v>
      </c>
      <c r="L12" s="7" t="str">
        <f>"143,5333"</f>
        <v>143,5333</v>
      </c>
      <c r="M12" s="6" t="s">
        <v>1372</v>
      </c>
    </row>
    <row r="13" ht="12.75">
      <c r="B13" s="4" t="s">
        <v>26</v>
      </c>
    </row>
    <row r="14" spans="1:10" ht="15">
      <c r="A14" s="45" t="s">
        <v>201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13" ht="12.75">
      <c r="A15" s="9" t="s">
        <v>15</v>
      </c>
      <c r="B15" s="8" t="s">
        <v>1373</v>
      </c>
      <c r="C15" s="8" t="s">
        <v>1374</v>
      </c>
      <c r="D15" s="8" t="s">
        <v>1375</v>
      </c>
      <c r="E15" s="8" t="str">
        <f>"0,5680"</f>
        <v>0,5680</v>
      </c>
      <c r="F15" s="8" t="s">
        <v>161</v>
      </c>
      <c r="G15" s="21" t="s">
        <v>1376</v>
      </c>
      <c r="H15" s="20" t="s">
        <v>1376</v>
      </c>
      <c r="I15" s="21" t="s">
        <v>1377</v>
      </c>
      <c r="J15" s="9"/>
      <c r="K15" s="9" t="str">
        <f>"375,0"</f>
        <v>375,0</v>
      </c>
      <c r="L15" s="9" t="str">
        <f>"212,9813"</f>
        <v>212,9813</v>
      </c>
      <c r="M15" s="8" t="s">
        <v>53</v>
      </c>
    </row>
    <row r="16" spans="1:13" ht="12.75">
      <c r="A16" s="11" t="s">
        <v>39</v>
      </c>
      <c r="B16" s="10" t="s">
        <v>1378</v>
      </c>
      <c r="C16" s="10" t="s">
        <v>1379</v>
      </c>
      <c r="D16" s="10" t="s">
        <v>1119</v>
      </c>
      <c r="E16" s="10" t="str">
        <f>"0,5663"</f>
        <v>0,5663</v>
      </c>
      <c r="F16" s="10" t="s">
        <v>161</v>
      </c>
      <c r="G16" s="23" t="s">
        <v>303</v>
      </c>
      <c r="H16" s="22" t="s">
        <v>303</v>
      </c>
      <c r="I16" s="23" t="s">
        <v>1380</v>
      </c>
      <c r="J16" s="11"/>
      <c r="K16" s="11" t="str">
        <f>"320,0"</f>
        <v>320,0</v>
      </c>
      <c r="L16" s="11" t="str">
        <f>"181,2160"</f>
        <v>181,2160</v>
      </c>
      <c r="M16" s="10" t="s">
        <v>1381</v>
      </c>
    </row>
    <row r="17" spans="1:13" ht="12.75">
      <c r="A17" s="11" t="s">
        <v>49</v>
      </c>
      <c r="B17" s="10" t="s">
        <v>1382</v>
      </c>
      <c r="C17" s="10" t="s">
        <v>1383</v>
      </c>
      <c r="D17" s="10" t="s">
        <v>1384</v>
      </c>
      <c r="E17" s="10" t="str">
        <f>"0,5658"</f>
        <v>0,5658</v>
      </c>
      <c r="F17" s="41" t="s">
        <v>1385</v>
      </c>
      <c r="G17" s="22" t="s">
        <v>147</v>
      </c>
      <c r="H17" s="23" t="s">
        <v>136</v>
      </c>
      <c r="I17" s="22" t="s">
        <v>136</v>
      </c>
      <c r="J17" s="11"/>
      <c r="K17" s="11" t="str">
        <f>"250,0"</f>
        <v>250,0</v>
      </c>
      <c r="L17" s="11" t="str">
        <f>"141,4500"</f>
        <v>141,4500</v>
      </c>
      <c r="M17" s="10" t="s">
        <v>53</v>
      </c>
    </row>
    <row r="18" spans="1:13" ht="12.75">
      <c r="A18" s="11" t="s">
        <v>15</v>
      </c>
      <c r="B18" s="10" t="s">
        <v>1373</v>
      </c>
      <c r="C18" s="10" t="s">
        <v>1386</v>
      </c>
      <c r="D18" s="10" t="s">
        <v>1375</v>
      </c>
      <c r="E18" s="10" t="str">
        <f>"0,5680"</f>
        <v>0,5680</v>
      </c>
      <c r="F18" s="10" t="s">
        <v>161</v>
      </c>
      <c r="G18" s="23" t="s">
        <v>1376</v>
      </c>
      <c r="H18" s="22" t="s">
        <v>1376</v>
      </c>
      <c r="I18" s="23" t="s">
        <v>1377</v>
      </c>
      <c r="J18" s="11"/>
      <c r="K18" s="11" t="str">
        <f>"375,0"</f>
        <v>375,0</v>
      </c>
      <c r="L18" s="11" t="str">
        <f>"227,4640"</f>
        <v>227,4640</v>
      </c>
      <c r="M18" s="10" t="s">
        <v>53</v>
      </c>
    </row>
    <row r="19" spans="1:13" ht="12.75">
      <c r="A19" s="13" t="s">
        <v>11</v>
      </c>
      <c r="B19" s="12" t="s">
        <v>1387</v>
      </c>
      <c r="C19" s="12" t="s">
        <v>1388</v>
      </c>
      <c r="D19" s="12" t="s">
        <v>1384</v>
      </c>
      <c r="E19" s="12" t="str">
        <f>"0,5658"</f>
        <v>0,5658</v>
      </c>
      <c r="F19" s="12" t="s">
        <v>624</v>
      </c>
      <c r="G19" s="25" t="s">
        <v>136</v>
      </c>
      <c r="H19" s="25" t="s">
        <v>136</v>
      </c>
      <c r="I19" s="25" t="s">
        <v>136</v>
      </c>
      <c r="J19" s="13"/>
      <c r="K19" s="13" t="str">
        <f>"0.00"</f>
        <v>0.00</v>
      </c>
      <c r="L19" s="13" t="str">
        <f>"0,0000"</f>
        <v>0,0000</v>
      </c>
      <c r="M19" s="12" t="s">
        <v>1389</v>
      </c>
    </row>
    <row r="20" ht="12.75">
      <c r="B20" s="4" t="s">
        <v>26</v>
      </c>
    </row>
    <row r="21" spans="1:10" ht="15">
      <c r="A21" s="45" t="s">
        <v>208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3" ht="12.75">
      <c r="A22" s="9" t="s">
        <v>15</v>
      </c>
      <c r="B22" s="8" t="s">
        <v>1272</v>
      </c>
      <c r="C22" s="8" t="s">
        <v>1273</v>
      </c>
      <c r="D22" s="8" t="s">
        <v>1274</v>
      </c>
      <c r="E22" s="8" t="str">
        <f>"0,5460"</f>
        <v>0,5460</v>
      </c>
      <c r="F22" s="8" t="s">
        <v>1275</v>
      </c>
      <c r="G22" s="20" t="s">
        <v>318</v>
      </c>
      <c r="H22" s="20" t="s">
        <v>1390</v>
      </c>
      <c r="I22" s="21" t="s">
        <v>1391</v>
      </c>
      <c r="J22" s="9"/>
      <c r="K22" s="9" t="str">
        <f>"390,0"</f>
        <v>390,0</v>
      </c>
      <c r="L22" s="9" t="str">
        <f>"212,9400"</f>
        <v>212,9400</v>
      </c>
      <c r="M22" s="8" t="s">
        <v>1277</v>
      </c>
    </row>
    <row r="23" spans="1:13" ht="12.75">
      <c r="A23" s="13" t="s">
        <v>15</v>
      </c>
      <c r="B23" s="12" t="s">
        <v>1272</v>
      </c>
      <c r="C23" s="12" t="s">
        <v>1278</v>
      </c>
      <c r="D23" s="12" t="s">
        <v>1274</v>
      </c>
      <c r="E23" s="12" t="str">
        <f>"0,5460"</f>
        <v>0,5460</v>
      </c>
      <c r="F23" s="12" t="s">
        <v>1275</v>
      </c>
      <c r="G23" s="24" t="s">
        <v>318</v>
      </c>
      <c r="H23" s="24" t="s">
        <v>1390</v>
      </c>
      <c r="I23" s="25" t="s">
        <v>1391</v>
      </c>
      <c r="J23" s="13"/>
      <c r="K23" s="13" t="str">
        <f>"390,0"</f>
        <v>390,0</v>
      </c>
      <c r="L23" s="13" t="str">
        <f>"237,0022"</f>
        <v>237,0022</v>
      </c>
      <c r="M23" s="12" t="s">
        <v>1277</v>
      </c>
    </row>
    <row r="24" ht="12.75">
      <c r="B24" s="4" t="s">
        <v>26</v>
      </c>
    </row>
  </sheetData>
  <sheetProtection/>
  <mergeCells count="16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A21:J21"/>
    <mergeCell ref="B3:B4"/>
    <mergeCell ref="K3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Pascal Girard</cp:lastModifiedBy>
  <dcterms:created xsi:type="dcterms:W3CDTF">2002-06-16T13:36:44Z</dcterms:created>
  <dcterms:modified xsi:type="dcterms:W3CDTF">2020-12-24T07:25:46Z</dcterms:modified>
  <cp:category/>
  <cp:version/>
  <cp:contentType/>
  <cp:contentStatus/>
</cp:coreProperties>
</file>