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65" windowWidth="28275" windowHeight="16140" activeTab="3"/>
  </bookViews>
  <sheets>
    <sheet name="WRPF Народный 1 вес ДК" sheetId="1" r:id="rId1"/>
    <sheet name="WRPF Народный 1 вес" sheetId="2" r:id="rId2"/>
    <sheet name="WRPF Народный 1_2 веса ДК" sheetId="3" r:id="rId3"/>
    <sheet name="WRPF Народный 1_2 веса" sheetId="4" r:id="rId4"/>
  </sheets>
  <definedNames/>
  <calcPr fullCalcOnLoad="1"/>
</workbook>
</file>

<file path=xl/sharedStrings.xml><?xml version="1.0" encoding="utf-8"?>
<sst xmlns="http://schemas.openxmlformats.org/spreadsheetml/2006/main" count="916" uniqueCount="469">
  <si>
    <t>Место</t>
  </si>
  <si>
    <t>ФИО</t>
  </si>
  <si>
    <t>Возрастная группа
Дата рождения/Возраст</t>
  </si>
  <si>
    <t>Собственный 
вес</t>
  </si>
  <si>
    <t>Страна/Город</t>
  </si>
  <si>
    <t>Очки</t>
  </si>
  <si>
    <t>Тренер</t>
  </si>
  <si>
    <t>ВЕСОВАЯ КАТЕГОРИЯ   48</t>
  </si>
  <si>
    <t>1</t>
  </si>
  <si>
    <t xml:space="preserve">RUS/Зеленоград </t>
  </si>
  <si>
    <t>62,5</t>
  </si>
  <si>
    <t>65,0</t>
  </si>
  <si>
    <t>67,5</t>
  </si>
  <si>
    <t>2</t>
  </si>
  <si>
    <t xml:space="preserve">RUS/Москва </t>
  </si>
  <si>
    <t>95,0</t>
  </si>
  <si>
    <t>100,0</t>
  </si>
  <si>
    <t>102,5</t>
  </si>
  <si>
    <t>40,0</t>
  </si>
  <si>
    <t>45,0</t>
  </si>
  <si>
    <t>120,0</t>
  </si>
  <si>
    <t>3</t>
  </si>
  <si>
    <t>85,0</t>
  </si>
  <si>
    <t>90,0</t>
  </si>
  <si>
    <t>92,5</t>
  </si>
  <si>
    <t>47,5</t>
  </si>
  <si>
    <t>50,0</t>
  </si>
  <si>
    <t>52,5</t>
  </si>
  <si>
    <t>105,0</t>
  </si>
  <si>
    <t/>
  </si>
  <si>
    <t>ВЕСОВАЯ КАТЕГОРИЯ   52</t>
  </si>
  <si>
    <t xml:space="preserve">RUS/Нижний Новгород </t>
  </si>
  <si>
    <t>80,0</t>
  </si>
  <si>
    <t>35,0</t>
  </si>
  <si>
    <t>112,5</t>
  </si>
  <si>
    <t>115,0</t>
  </si>
  <si>
    <t>72,5</t>
  </si>
  <si>
    <t>77,5</t>
  </si>
  <si>
    <t xml:space="preserve">RUS/Пермь </t>
  </si>
  <si>
    <t>110,0</t>
  </si>
  <si>
    <t>60,0</t>
  </si>
  <si>
    <t>87,5</t>
  </si>
  <si>
    <t>55,0</t>
  </si>
  <si>
    <t>4</t>
  </si>
  <si>
    <t>97,5</t>
  </si>
  <si>
    <t>-</t>
  </si>
  <si>
    <t>Самостоятельно</t>
  </si>
  <si>
    <t>ВЕСОВАЯ КАТЕГОРИЯ   56</t>
  </si>
  <si>
    <t>57,5</t>
  </si>
  <si>
    <t>70,0</t>
  </si>
  <si>
    <t>107,5</t>
  </si>
  <si>
    <t xml:space="preserve">RUS/Подольск </t>
  </si>
  <si>
    <t>127,5</t>
  </si>
  <si>
    <t>5</t>
  </si>
  <si>
    <t>55,30</t>
  </si>
  <si>
    <t>52,50</t>
  </si>
  <si>
    <t>75,0</t>
  </si>
  <si>
    <t>ВЕСОВАЯ КАТЕГОРИЯ   60</t>
  </si>
  <si>
    <t xml:space="preserve">IRN/Tehran </t>
  </si>
  <si>
    <t>22,5</t>
  </si>
  <si>
    <t>30,0</t>
  </si>
  <si>
    <t>25,0</t>
  </si>
  <si>
    <t>59,30</t>
  </si>
  <si>
    <t>82,5</t>
  </si>
  <si>
    <t>ВЕСОВАЯ КАТЕГОРИЯ   67.5</t>
  </si>
  <si>
    <t xml:space="preserve">RUS/Санкт-Петербург </t>
  </si>
  <si>
    <t>67,20</t>
  </si>
  <si>
    <t xml:space="preserve">RUS/Новочеркасск </t>
  </si>
  <si>
    <t xml:space="preserve">Пахучий А. </t>
  </si>
  <si>
    <t xml:space="preserve">RUS/Брянск </t>
  </si>
  <si>
    <t>66,70</t>
  </si>
  <si>
    <t xml:space="preserve">Харина В. </t>
  </si>
  <si>
    <t>ВЕСОВАЯ КАТЕГОРИЯ   75</t>
  </si>
  <si>
    <t>69,90</t>
  </si>
  <si>
    <t xml:space="preserve">RUS/Казань </t>
  </si>
  <si>
    <t>ВЕСОВАЯ КАТЕГОРИЯ   82.5</t>
  </si>
  <si>
    <t>ВЕСОВАЯ КАТЕГОРИЯ   90</t>
  </si>
  <si>
    <t xml:space="preserve">RUS/Баксан </t>
  </si>
  <si>
    <t>58,00</t>
  </si>
  <si>
    <t>74,90</t>
  </si>
  <si>
    <t>80,00</t>
  </si>
  <si>
    <t xml:space="preserve">RUS/Нальчик </t>
  </si>
  <si>
    <t xml:space="preserve">Губжев Б. </t>
  </si>
  <si>
    <t>81,50</t>
  </si>
  <si>
    <t>82,20</t>
  </si>
  <si>
    <t>80,70</t>
  </si>
  <si>
    <t>82,30</t>
  </si>
  <si>
    <t>90,00</t>
  </si>
  <si>
    <t>84,70</t>
  </si>
  <si>
    <t>87,70</t>
  </si>
  <si>
    <t>86,60</t>
  </si>
  <si>
    <t xml:space="preserve">Хашпаков М. </t>
  </si>
  <si>
    <t>ВЕСОВАЯ КАТЕГОРИЯ   100</t>
  </si>
  <si>
    <t xml:space="preserve">RUS/Новосибирск </t>
  </si>
  <si>
    <t xml:space="preserve">Зверев Р. </t>
  </si>
  <si>
    <t>97,30</t>
  </si>
  <si>
    <t xml:space="preserve">RUS/Балашиха </t>
  </si>
  <si>
    <t>ВЕСОВАЯ КАТЕГОРИЯ   110</t>
  </si>
  <si>
    <t>ВЕСОВАЯ КАТЕГОРИЯ   125</t>
  </si>
  <si>
    <t>ВЕСОВАЯ КАТЕГОРИЯ   140</t>
  </si>
  <si>
    <t xml:space="preserve">Абсолютный зачёт </t>
  </si>
  <si>
    <t xml:space="preserve">Открытая </t>
  </si>
  <si>
    <t xml:space="preserve">ФИО </t>
  </si>
  <si>
    <t xml:space="preserve">Возрастная группа </t>
  </si>
  <si>
    <t>Весовая категория</t>
  </si>
  <si>
    <t>60</t>
  </si>
  <si>
    <t>67.5</t>
  </si>
  <si>
    <t xml:space="preserve">Мужчины </t>
  </si>
  <si>
    <t>90</t>
  </si>
  <si>
    <t>82.5</t>
  </si>
  <si>
    <t>100</t>
  </si>
  <si>
    <t xml:space="preserve">Мастера </t>
  </si>
  <si>
    <t xml:space="preserve">Мастера 50-59 </t>
  </si>
  <si>
    <t xml:space="preserve">Мастера 40-49 </t>
  </si>
  <si>
    <t>49,80</t>
  </si>
  <si>
    <t xml:space="preserve">RUS/Саратов </t>
  </si>
  <si>
    <t>72,90</t>
  </si>
  <si>
    <t>85,40</t>
  </si>
  <si>
    <t>81,90</t>
  </si>
  <si>
    <t>86,20</t>
  </si>
  <si>
    <t>89,60</t>
  </si>
  <si>
    <t>89,50</t>
  </si>
  <si>
    <t xml:space="preserve">RUS/Фрязино </t>
  </si>
  <si>
    <t>110,00</t>
  </si>
  <si>
    <t>109,60</t>
  </si>
  <si>
    <t xml:space="preserve">RUS/Кострома </t>
  </si>
  <si>
    <t>104,70</t>
  </si>
  <si>
    <t xml:space="preserve">RUS/Калининград </t>
  </si>
  <si>
    <t>Чабанная Юлия</t>
  </si>
  <si>
    <t>Открытая (12.02.1986)/35</t>
  </si>
  <si>
    <t xml:space="preserve">RUS/Королёв </t>
  </si>
  <si>
    <t>37,5</t>
  </si>
  <si>
    <t>95,40</t>
  </si>
  <si>
    <t>108,90</t>
  </si>
  <si>
    <t xml:space="preserve">MDA/Кишинев </t>
  </si>
  <si>
    <t>Открытая (19.04.1987)/34</t>
  </si>
  <si>
    <t xml:space="preserve">KAZ/Балхаш </t>
  </si>
  <si>
    <t>Открытая (20.05.1997)/24</t>
  </si>
  <si>
    <t xml:space="preserve">UZB/Ташкент </t>
  </si>
  <si>
    <t>Sirdani Abolfazl</t>
  </si>
  <si>
    <t>Открытая (17.06.1987)/34</t>
  </si>
  <si>
    <t>67,50</t>
  </si>
  <si>
    <t>87,10</t>
  </si>
  <si>
    <t>86,10</t>
  </si>
  <si>
    <t>84,60</t>
  </si>
  <si>
    <t>97,50</t>
  </si>
  <si>
    <t>Namjoo Roohollah</t>
  </si>
  <si>
    <t>Открытая (09.07.1991)/30</t>
  </si>
  <si>
    <t>32,5</t>
  </si>
  <si>
    <t xml:space="preserve">RUS/Реутов </t>
  </si>
  <si>
    <t>Тубаев Имран</t>
  </si>
  <si>
    <t>Открытая (03.12.1994)/27</t>
  </si>
  <si>
    <t xml:space="preserve">Ингушев Ч. </t>
  </si>
  <si>
    <t xml:space="preserve">RUS/Владивосток </t>
  </si>
  <si>
    <t>86,00</t>
  </si>
  <si>
    <t>Вороков Султан</t>
  </si>
  <si>
    <t>Открытая (24.03.1997)/24</t>
  </si>
  <si>
    <t>75</t>
  </si>
  <si>
    <t>Tray Olga</t>
  </si>
  <si>
    <t>97,40</t>
  </si>
  <si>
    <t>Мастера 40-49 (18.02.1974)/47</t>
  </si>
  <si>
    <t>98,50</t>
  </si>
  <si>
    <t>107,90</t>
  </si>
  <si>
    <t>ВЕСОВАЯ КАТЕГОРИЯ   44</t>
  </si>
  <si>
    <t>Шаргородская Виктория</t>
  </si>
  <si>
    <t>Открытая (19.03.1988)/33</t>
  </si>
  <si>
    <t>64,20</t>
  </si>
  <si>
    <t xml:space="preserve">RUS/Новый Уренгой </t>
  </si>
  <si>
    <t xml:space="preserve">RUS/Котельнич </t>
  </si>
  <si>
    <t xml:space="preserve">RUS/Алкадар </t>
  </si>
  <si>
    <t>67,00</t>
  </si>
  <si>
    <t>Глухов Евгений</t>
  </si>
  <si>
    <t>Открытая (10.04.1987)/34</t>
  </si>
  <si>
    <t>Шаламов Никита</t>
  </si>
  <si>
    <t>Открытая (13.01.1994)/27</t>
  </si>
  <si>
    <t xml:space="preserve">RUS/Биробиджан </t>
  </si>
  <si>
    <t>72,30</t>
  </si>
  <si>
    <t xml:space="preserve">Никитин С. </t>
  </si>
  <si>
    <t>Желябовский Дмитрий</t>
  </si>
  <si>
    <t>Мастера 40-49 (02.10.1978)/43</t>
  </si>
  <si>
    <t xml:space="preserve">RUS/Серпухов </t>
  </si>
  <si>
    <t>78,10</t>
  </si>
  <si>
    <t>Ошков Александр</t>
  </si>
  <si>
    <t xml:space="preserve">RUS/Волжск </t>
  </si>
  <si>
    <t xml:space="preserve">Ошков С. </t>
  </si>
  <si>
    <t>Касараев Сергей</t>
  </si>
  <si>
    <t>Открытая (18.02.1974)/47</t>
  </si>
  <si>
    <t xml:space="preserve">RUS/Жуковский </t>
  </si>
  <si>
    <t xml:space="preserve">RUS/Монино </t>
  </si>
  <si>
    <t>Александров Леонид</t>
  </si>
  <si>
    <t>Мастера 50-59 (15.07.1971)/50</t>
  </si>
  <si>
    <t>Плюснин Олег</t>
  </si>
  <si>
    <t>Мастера 50-59 (22.03.1963)/58</t>
  </si>
  <si>
    <t>76,00</t>
  </si>
  <si>
    <t xml:space="preserve">RUS/Сыктывкар </t>
  </si>
  <si>
    <t xml:space="preserve">Васев А. </t>
  </si>
  <si>
    <t>Николаев Александр</t>
  </si>
  <si>
    <t>86,90</t>
  </si>
  <si>
    <t>85,50</t>
  </si>
  <si>
    <t>Chebotar Dmitry</t>
  </si>
  <si>
    <t>Открытая (07.10.1986)/35</t>
  </si>
  <si>
    <t>Мастера 40-49 (25.10.1976)/45</t>
  </si>
  <si>
    <t>Рубцов Александр</t>
  </si>
  <si>
    <t>Мастера 50-59 (04.03.1969)/52</t>
  </si>
  <si>
    <t xml:space="preserve">RUS/Елец </t>
  </si>
  <si>
    <t xml:space="preserve">Макаричев С. </t>
  </si>
  <si>
    <t>Шаталин Дмитрий</t>
  </si>
  <si>
    <t>Мастера 50-59 (02.09.1967)/54</t>
  </si>
  <si>
    <t xml:space="preserve">RUS/Орск </t>
  </si>
  <si>
    <t>Плешков Владимир</t>
  </si>
  <si>
    <t>83,40</t>
  </si>
  <si>
    <t xml:space="preserve">RUS/Щёлково </t>
  </si>
  <si>
    <t>99,80</t>
  </si>
  <si>
    <t>Макаров Иван</t>
  </si>
  <si>
    <t>98,90</t>
  </si>
  <si>
    <t xml:space="preserve">RUS/Перевоз </t>
  </si>
  <si>
    <t>91,90</t>
  </si>
  <si>
    <t>Омаров Магомед</t>
  </si>
  <si>
    <t>Мастера 50-59 (30.05.1963)/58</t>
  </si>
  <si>
    <t>94,50</t>
  </si>
  <si>
    <t>102,00</t>
  </si>
  <si>
    <t xml:space="preserve">RUS/Лосино-Петровский </t>
  </si>
  <si>
    <t>Горшунов Сергей</t>
  </si>
  <si>
    <t>Мастера 40-49 (26.05.1976)/45</t>
  </si>
  <si>
    <t>113,10</t>
  </si>
  <si>
    <t xml:space="preserve">RUS/Димитровград </t>
  </si>
  <si>
    <t>Васильев Виктор</t>
  </si>
  <si>
    <t>111,60</t>
  </si>
  <si>
    <t>Гулина Татьяна</t>
  </si>
  <si>
    <t>Открытая (28.04.1973)/48</t>
  </si>
  <si>
    <t>46,80</t>
  </si>
  <si>
    <t xml:space="preserve">Лялин М. </t>
  </si>
  <si>
    <t xml:space="preserve">RUS/Анапа </t>
  </si>
  <si>
    <t>79,60</t>
  </si>
  <si>
    <t>86,70</t>
  </si>
  <si>
    <t>Баженов Валерий</t>
  </si>
  <si>
    <t xml:space="preserve">RUS/Глазов </t>
  </si>
  <si>
    <t>95,00</t>
  </si>
  <si>
    <t>Макушов Андрей</t>
  </si>
  <si>
    <t>Открытая (21.07.1991)/30</t>
  </si>
  <si>
    <t>Открытая (03.05.1987)/34</t>
  </si>
  <si>
    <t>Сабуров Геннадий</t>
  </si>
  <si>
    <t>Открытая (12.03.1987)/34</t>
  </si>
  <si>
    <t xml:space="preserve">Климов В. </t>
  </si>
  <si>
    <t>Галахов Александр</t>
  </si>
  <si>
    <t>Мастера 50-59 (21.05.1971)/50</t>
  </si>
  <si>
    <t>105,70</t>
  </si>
  <si>
    <t xml:space="preserve">Калинеченко В. </t>
  </si>
  <si>
    <t>Рыбальченко Игорь</t>
  </si>
  <si>
    <t>Мастера 50-59 (22.03.1964)/57</t>
  </si>
  <si>
    <t>Зяблов Николай</t>
  </si>
  <si>
    <t xml:space="preserve">RUS/Дубна </t>
  </si>
  <si>
    <t xml:space="preserve">Разумов А. </t>
  </si>
  <si>
    <t>Шойган Александр</t>
  </si>
  <si>
    <t>102,20</t>
  </si>
  <si>
    <t xml:space="preserve">RUS/поселок Палатка </t>
  </si>
  <si>
    <t>Мастера 40-49 (19.01.1973)/48</t>
  </si>
  <si>
    <t>Farahmand Neazhad</t>
  </si>
  <si>
    <t>Открытая (10.07.1983)/38</t>
  </si>
  <si>
    <t>Ghazizadehkhosroshahi Mehdi</t>
  </si>
  <si>
    <t>Открытая (24.07.1985)/36</t>
  </si>
  <si>
    <t>Gloss</t>
  </si>
  <si>
    <t>Открытая (06.06.1982)/39</t>
  </si>
  <si>
    <t>Rashidi-Sabeghi Alireza</t>
  </si>
  <si>
    <t>Мастера 40-49 (22.12.1975)/45</t>
  </si>
  <si>
    <t>91,20</t>
  </si>
  <si>
    <t xml:space="preserve">IRN/Behshahr </t>
  </si>
  <si>
    <t xml:space="preserve">Gloss </t>
  </si>
  <si>
    <t>Sadykov Maksat</t>
  </si>
  <si>
    <t>Открытая (12.07.1989)/32</t>
  </si>
  <si>
    <t xml:space="preserve">KGZ/Ош </t>
  </si>
  <si>
    <t xml:space="preserve">Nazimov D. </t>
  </si>
  <si>
    <t>VII Чемпионат мира
WRPF Народный жим 1 вес ДК
Москва, 16-19 декабря 2021 года</t>
  </si>
  <si>
    <t>Народный жим</t>
  </si>
  <si>
    <t>Тоннаж</t>
  </si>
  <si>
    <t>Вес</t>
  </si>
  <si>
    <t>Повторы</t>
  </si>
  <si>
    <t>Мамуткина Наталия</t>
  </si>
  <si>
    <t>Открытая (26.11.1990)/31</t>
  </si>
  <si>
    <t>53,90</t>
  </si>
  <si>
    <t>Корецкая Мария</t>
  </si>
  <si>
    <t>Мастера 40-49 (11.10.1981)/40</t>
  </si>
  <si>
    <t>60,40</t>
  </si>
  <si>
    <t>Незнамов Игорь</t>
  </si>
  <si>
    <t>Открытая (05.09.1970)/51</t>
  </si>
  <si>
    <t>59,80</t>
  </si>
  <si>
    <t xml:space="preserve">Чкана Д. </t>
  </si>
  <si>
    <t>Открытая (22.09.1985)/36</t>
  </si>
  <si>
    <t>Мастера 50-59 (05.09.1970)/51</t>
  </si>
  <si>
    <t>Басхамджиев Баатар</t>
  </si>
  <si>
    <t>Открытая (22.03.1987)/34</t>
  </si>
  <si>
    <t>64,80</t>
  </si>
  <si>
    <t xml:space="preserve">RUS/Элиста </t>
  </si>
  <si>
    <t>63,30</t>
  </si>
  <si>
    <t>Абдурахманов Заур</t>
  </si>
  <si>
    <t>Открытая (24.06.1990)/31</t>
  </si>
  <si>
    <t>71,80</t>
  </si>
  <si>
    <t>Калинин Сергей</t>
  </si>
  <si>
    <t>Мастера 40-49 (19.11.1975)/46</t>
  </si>
  <si>
    <t>74,20</t>
  </si>
  <si>
    <t>Филатов Николай</t>
  </si>
  <si>
    <t>Мастера 40-49 (01.03.1977)/44</t>
  </si>
  <si>
    <t>70,00</t>
  </si>
  <si>
    <t>Селезнев Роман</t>
  </si>
  <si>
    <t>Открытая (10.06.1982)/39</t>
  </si>
  <si>
    <t>77,50</t>
  </si>
  <si>
    <t>Кокарев Александр</t>
  </si>
  <si>
    <t>Открытая (12.07.1982)/39</t>
  </si>
  <si>
    <t xml:space="preserve">RUS/Клин </t>
  </si>
  <si>
    <t>Ошков Сергей</t>
  </si>
  <si>
    <t>Мастера 40-49 (10.08.1972)/49</t>
  </si>
  <si>
    <t>78,60</t>
  </si>
  <si>
    <t>Noureddini Seyed-Mohammad-Hassan</t>
  </si>
  <si>
    <t>Мастера 40-49 (21.09.1980)/41</t>
  </si>
  <si>
    <t xml:space="preserve">IRN/Herat </t>
  </si>
  <si>
    <t>Никоноров Максим</t>
  </si>
  <si>
    <t>Мастера 40-49 (10.04.1980)/41</t>
  </si>
  <si>
    <t>Джаутханов Башир</t>
  </si>
  <si>
    <t>Юниоры 20-23 (19.08.1999)/22</t>
  </si>
  <si>
    <t xml:space="preserve">RUS/Назрань </t>
  </si>
  <si>
    <t xml:space="preserve">Джаутханов Х. </t>
  </si>
  <si>
    <t>Меженин Иван</t>
  </si>
  <si>
    <t>Открытая (08.01.1973)/48</t>
  </si>
  <si>
    <t>Иванов Игорь</t>
  </si>
  <si>
    <t>Открытая (05.08.1968)/53</t>
  </si>
  <si>
    <t xml:space="preserve">RUS/Сосновый Бор </t>
  </si>
  <si>
    <t xml:space="preserve">Гудков М. </t>
  </si>
  <si>
    <t>Липковский Павел</t>
  </si>
  <si>
    <t>Открытая (01.09.1983)/38</t>
  </si>
  <si>
    <t>Павлов Александр</t>
  </si>
  <si>
    <t>Открытая (15.04.1993)/28</t>
  </si>
  <si>
    <t>85,00</t>
  </si>
  <si>
    <t xml:space="preserve">RUS/Михайловск </t>
  </si>
  <si>
    <t xml:space="preserve">Павлов Ф. </t>
  </si>
  <si>
    <t>Мастера 40-49 (08.01.1973)/48</t>
  </si>
  <si>
    <t>Мастера 50-59 (05.08.1968)/53</t>
  </si>
  <si>
    <t>Мажухин Андрей</t>
  </si>
  <si>
    <t>Мастера 50-59 (22.11.1968)/53</t>
  </si>
  <si>
    <t>Сорокин Геннадий</t>
  </si>
  <si>
    <t>Мастера 60+ (08.09.1959)/62</t>
  </si>
  <si>
    <t>Мастера 60+ (29.08.1944)/77</t>
  </si>
  <si>
    <t>Светанков Михаил</t>
  </si>
  <si>
    <t>Юниоры 20-23 (02.05.2000)/21</t>
  </si>
  <si>
    <t>94,80</t>
  </si>
  <si>
    <t xml:space="preserve">RUS/Кулебаки </t>
  </si>
  <si>
    <t>Арутюнян Спиридон</t>
  </si>
  <si>
    <t>Открытая (15.02.1981)/40</t>
  </si>
  <si>
    <t>91,80</t>
  </si>
  <si>
    <t xml:space="preserve">Гузнищев А. </t>
  </si>
  <si>
    <t>Ярошецкий Владимир</t>
  </si>
  <si>
    <t>Мастера 40-49 (15.02.1981)/40</t>
  </si>
  <si>
    <t>Болтиков Юрий</t>
  </si>
  <si>
    <t>Мастера 50-59 (24.08.1967)/54</t>
  </si>
  <si>
    <t xml:space="preserve">RUS/Нижнекамск </t>
  </si>
  <si>
    <t>Беляев Дмитрий</t>
  </si>
  <si>
    <t>Открытая (12.06.1984)/37</t>
  </si>
  <si>
    <t>104,60</t>
  </si>
  <si>
    <t xml:space="preserve">Перов П. </t>
  </si>
  <si>
    <t>Makhnist Artem</t>
  </si>
  <si>
    <t>Открытая (08.03.1984)/37</t>
  </si>
  <si>
    <t>100,50</t>
  </si>
  <si>
    <t xml:space="preserve">BLR/Мядель </t>
  </si>
  <si>
    <t>Kobanov Y.</t>
  </si>
  <si>
    <t>Яковенко Владимир</t>
  </si>
  <si>
    <t>Мастера 60+ (27.03.1959)/62</t>
  </si>
  <si>
    <t xml:space="preserve">RUS/Можайск </t>
  </si>
  <si>
    <t xml:space="preserve">Савин К. </t>
  </si>
  <si>
    <t>Розинкевич Павел</t>
  </si>
  <si>
    <t>Открытая (25.05.1989)/32</t>
  </si>
  <si>
    <t>110,90</t>
  </si>
  <si>
    <t>Мастера 60+ (09.02.1954)/67</t>
  </si>
  <si>
    <t>Агапов Дмитрий</t>
  </si>
  <si>
    <t>126,00</t>
  </si>
  <si>
    <t>4060,0</t>
  </si>
  <si>
    <t>2889,5021</t>
  </si>
  <si>
    <t>4375,0</t>
  </si>
  <si>
    <t>2727,3749</t>
  </si>
  <si>
    <t>3442,5</t>
  </si>
  <si>
    <t>2586,1782</t>
  </si>
  <si>
    <t>2991,9302</t>
  </si>
  <si>
    <t>3795,0</t>
  </si>
  <si>
    <t>2650,9563</t>
  </si>
  <si>
    <t>2760,0</t>
  </si>
  <si>
    <t>2645,1174</t>
  </si>
  <si>
    <t>VII Чемпионат мира
WRPF Народный жим 1 вес
Москва, 16-19 декабря 2021 года</t>
  </si>
  <si>
    <t>Сперанская Анастасия</t>
  </si>
  <si>
    <t>Открытая (22.12.2015)/5</t>
  </si>
  <si>
    <t>21,90</t>
  </si>
  <si>
    <t xml:space="preserve">Сперанский С. </t>
  </si>
  <si>
    <t>Карнаушкина Ирина</t>
  </si>
  <si>
    <t>Мастера 40-49 (30.06.1972)/49</t>
  </si>
  <si>
    <t>49,70</t>
  </si>
  <si>
    <t xml:space="preserve">Филоненко И. </t>
  </si>
  <si>
    <t>Дорофеева Елена</t>
  </si>
  <si>
    <t>Мастера 40-49 (03.12.1981)/40</t>
  </si>
  <si>
    <t xml:space="preserve">Рассказов Г. </t>
  </si>
  <si>
    <t>Киселев Лев</t>
  </si>
  <si>
    <t>Юноши 13-19 (28.09.2005)/16</t>
  </si>
  <si>
    <t>Открытая (28.09.2005)/16</t>
  </si>
  <si>
    <t>Костин Егор</t>
  </si>
  <si>
    <t>Юноши 13-19 (12.03.2006)/15</t>
  </si>
  <si>
    <t>57,50</t>
  </si>
  <si>
    <t>Zhumaev Sirozhiddyn</t>
  </si>
  <si>
    <t xml:space="preserve">Rakhmonkulov K. </t>
  </si>
  <si>
    <t>Яковлев Юрий</t>
  </si>
  <si>
    <t>Открытая (01.06.1973)/48</t>
  </si>
  <si>
    <t>Осипов Сергей</t>
  </si>
  <si>
    <t>Открытая (01.06.1990)/31</t>
  </si>
  <si>
    <t>Мастера 40-49 (01.06.1973)/48</t>
  </si>
  <si>
    <t>Наумов Павел</t>
  </si>
  <si>
    <t>Открытая (12.07.1985)/36</t>
  </si>
  <si>
    <t xml:space="preserve">Заболотников И. </t>
  </si>
  <si>
    <t>Рассказов Геннадий</t>
  </si>
  <si>
    <t>Открытая (04.09.1966)/55</t>
  </si>
  <si>
    <t>Платонов Андрей</t>
  </si>
  <si>
    <t>Открытая (19.12.1995)/25</t>
  </si>
  <si>
    <t xml:space="preserve">RUS/Демидов </t>
  </si>
  <si>
    <t>Горбунов Евгений</t>
  </si>
  <si>
    <t>Открытая (04.10.1989)/32</t>
  </si>
  <si>
    <t>Игнатьев Юрий</t>
  </si>
  <si>
    <t>Мастера 40-49 (01.02.1980)/41</t>
  </si>
  <si>
    <t>Костин Алексей</t>
  </si>
  <si>
    <t xml:space="preserve">Яковлев Ю. </t>
  </si>
  <si>
    <t>Мастера 50-59 (04.09.1966)/55</t>
  </si>
  <si>
    <t>Мастера 60+ (16.08.1960)/61</t>
  </si>
  <si>
    <t>Кирилкин Сергей</t>
  </si>
  <si>
    <t>Открытая (09.10.1979)/42</t>
  </si>
  <si>
    <t>Апажев Заур</t>
  </si>
  <si>
    <t>Открытая (29.11.1990)/31</t>
  </si>
  <si>
    <t>Мастера 40-49 (09.10.1979)/42</t>
  </si>
  <si>
    <t xml:space="preserve">Kobanov Y. </t>
  </si>
  <si>
    <t>Hamed Heidari</t>
  </si>
  <si>
    <t>Мастера 60+ (05.04.1958)/63</t>
  </si>
  <si>
    <t>Мастера 60+ (21.04.1960)/61</t>
  </si>
  <si>
    <t>Ниазашвили Арсений</t>
  </si>
  <si>
    <t>Мастера 50-59 (08.11.1970)/51</t>
  </si>
  <si>
    <t>118,20</t>
  </si>
  <si>
    <t>10500,0</t>
  </si>
  <si>
    <t>7634,5502</t>
  </si>
  <si>
    <t>10350,0</t>
  </si>
  <si>
    <t>6352,3123</t>
  </si>
  <si>
    <t>10100,0</t>
  </si>
  <si>
    <t>5909,0049</t>
  </si>
  <si>
    <t>8375,1015</t>
  </si>
  <si>
    <t>6027,1850</t>
  </si>
  <si>
    <t>5695,0</t>
  </si>
  <si>
    <t>4426,1612</t>
  </si>
  <si>
    <t>VII Чемпионат мира
WRPF Народный жим 1/2 веса ДК
Москва, 16-19 декабря 2021 года</t>
  </si>
  <si>
    <t>Саакян Анна</t>
  </si>
  <si>
    <t>Открытая (10.08.1987)/34</t>
  </si>
  <si>
    <t>Фатхрахманова Оксана</t>
  </si>
  <si>
    <t>Открытая (21.01.1984)/37</t>
  </si>
  <si>
    <t xml:space="preserve">Зайнуллин Р. </t>
  </si>
  <si>
    <t>Арзамасцев Арсений</t>
  </si>
  <si>
    <t>Юноши 13-19 (27.04.2005)/16</t>
  </si>
  <si>
    <t>Юноши 13-19 (26.11.2003)/18</t>
  </si>
  <si>
    <t>Сверчков Андрей</t>
  </si>
  <si>
    <t>Мастера 60+ (18.11.1953)/68</t>
  </si>
  <si>
    <t>78,20</t>
  </si>
  <si>
    <t>Юноши 13-19 (30.01.2003)/18</t>
  </si>
  <si>
    <t>VII Чемпионат мира
WRPF Народный жим 1/2 веса
Москва, 16-19 декабря 2021 года</t>
  </si>
  <si>
    <t>Бородин Анатолий</t>
  </si>
  <si>
    <t>Мастера 60+ (25.06.1959)/62</t>
  </si>
  <si>
    <t xml:space="preserve">RUS/Фурманов </t>
  </si>
  <si>
    <t>Цыбряев Александр</t>
  </si>
  <si>
    <t>Мастера 60+ (18.06.1958)/63</t>
  </si>
  <si>
    <t xml:space="preserve">RUS/Арзамас </t>
  </si>
  <si>
    <t>Гаршин Александр</t>
  </si>
  <si>
    <t>Мастера 60+ (29.06.1954)/67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</si>
</sst>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  <numFmt numFmtId="165" formatCode="0.0000"/>
  </numFmts>
  <fonts count="41">
    <font>
      <sz val="10"/>
      <name val="Arial Cyr"/>
      <family val="0"/>
    </font>
    <font>
      <sz val="11"/>
      <color indexed="8"/>
      <name val="Calibri"/>
      <family val="2"/>
    </font>
    <font>
      <b/>
      <sz val="10"/>
      <name val="Arial Cyr"/>
      <family val="0"/>
    </font>
    <font>
      <b/>
      <sz val="11"/>
      <name val="Arial Cyr"/>
      <family val="0"/>
    </font>
    <font>
      <b/>
      <sz val="24"/>
      <name val="Arial Cyr"/>
      <family val="0"/>
    </font>
    <font>
      <i/>
      <sz val="12"/>
      <name val="Arial Cyr"/>
      <family val="0"/>
    </font>
    <font>
      <sz val="14"/>
      <name val="Arial Cyr"/>
      <family val="0"/>
    </font>
    <font>
      <i/>
      <sz val="11"/>
      <name val="Arial Cyr"/>
      <family val="0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medium"/>
      <top style="thin"/>
      <bottom style="medium"/>
    </border>
    <border>
      <left/>
      <right/>
      <top style="medium"/>
      <bottom/>
    </border>
    <border>
      <left style="medium"/>
      <right style="thin"/>
      <top style="medium"/>
      <bottom style="thin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0" borderId="2" applyNumberFormat="0" applyFill="0" applyAlignment="0" applyProtection="0"/>
    <xf numFmtId="0" fontId="29" fillId="27" borderId="1" applyNumberFormat="0" applyAlignment="0" applyProtection="0"/>
    <xf numFmtId="0" fontId="30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33" fillId="26" borderId="4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2" borderId="9" applyNumberFormat="0" applyAlignment="0" applyProtection="0"/>
  </cellStyleXfs>
  <cellXfs count="52">
    <xf numFmtId="0" fontId="0" fillId="0" borderId="0" xfId="0" applyAlignment="1">
      <alignment/>
    </xf>
    <xf numFmtId="49" fontId="3" fillId="0" borderId="0" xfId="0" applyNumberFormat="1" applyFont="1" applyAlignment="1">
      <alignment horizontal="center" vertical="center"/>
    </xf>
    <xf numFmtId="49" fontId="2" fillId="0" borderId="0" xfId="0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49" fontId="3" fillId="0" borderId="10" xfId="0" applyNumberFormat="1" applyFont="1" applyBorder="1" applyAlignment="1">
      <alignment horizontal="center" vertical="center"/>
    </xf>
    <xf numFmtId="49" fontId="0" fillId="0" borderId="0" xfId="0" applyNumberForma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49" fontId="0" fillId="0" borderId="11" xfId="0" applyNumberFormat="1" applyBorder="1" applyAlignment="1">
      <alignment horizontal="center" vertical="center"/>
    </xf>
    <xf numFmtId="49" fontId="2" fillId="0" borderId="11" xfId="0" applyNumberFormat="1" applyFon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 vertical="center"/>
    </xf>
    <xf numFmtId="49" fontId="0" fillId="0" borderId="13" xfId="0" applyNumberFormat="1" applyBorder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0" fillId="0" borderId="14" xfId="0" applyNumberFormat="1" applyBorder="1" applyAlignment="1">
      <alignment horizontal="center" vertical="center"/>
    </xf>
    <xf numFmtId="49" fontId="2" fillId="0" borderId="14" xfId="0" applyNumberFormat="1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7" fillId="0" borderId="0" xfId="0" applyNumberFormat="1" applyFont="1" applyAlignment="1">
      <alignment horizontal="left" vertical="center" indent="1"/>
    </xf>
    <xf numFmtId="49" fontId="7" fillId="0" borderId="0" xfId="0" applyNumberFormat="1" applyFont="1" applyAlignment="1">
      <alignment horizontal="center" vertical="center"/>
    </xf>
    <xf numFmtId="49" fontId="3" fillId="0" borderId="11" xfId="0" applyNumberFormat="1" applyFont="1" applyBorder="1" applyAlignment="1">
      <alignment horizontal="center" vertical="center"/>
    </xf>
    <xf numFmtId="164" fontId="2" fillId="0" borderId="0" xfId="0" applyNumberFormat="1" applyFont="1" applyAlignment="1">
      <alignment horizontal="center" vertical="center"/>
    </xf>
    <xf numFmtId="164" fontId="2" fillId="0" borderId="11" xfId="0" applyNumberFormat="1" applyFont="1" applyBorder="1" applyAlignment="1">
      <alignment horizontal="center" vertical="center"/>
    </xf>
    <xf numFmtId="164" fontId="2" fillId="0" borderId="12" xfId="0" applyNumberFormat="1" applyFont="1" applyBorder="1" applyAlignment="1">
      <alignment horizontal="center" vertical="center"/>
    </xf>
    <xf numFmtId="164" fontId="2" fillId="0" borderId="13" xfId="0" applyNumberFormat="1" applyFont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 vertical="center"/>
    </xf>
    <xf numFmtId="1" fontId="2" fillId="0" borderId="11" xfId="0" applyNumberFormat="1" applyFont="1" applyBorder="1" applyAlignment="1">
      <alignment horizontal="center" vertical="center"/>
    </xf>
    <xf numFmtId="1" fontId="2" fillId="0" borderId="0" xfId="0" applyNumberFormat="1" applyFont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/>
    </xf>
    <xf numFmtId="1" fontId="2" fillId="0" borderId="13" xfId="0" applyNumberFormat="1" applyFont="1" applyBorder="1" applyAlignment="1">
      <alignment horizontal="center" vertical="center"/>
    </xf>
    <xf numFmtId="1" fontId="2" fillId="0" borderId="14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/>
    </xf>
    <xf numFmtId="49" fontId="3" fillId="0" borderId="10" xfId="0" applyNumberFormat="1" applyFont="1" applyBorder="1" applyAlignment="1">
      <alignment horizontal="center" vertical="center"/>
    </xf>
    <xf numFmtId="49" fontId="3" fillId="0" borderId="15" xfId="0" applyNumberFormat="1" applyFont="1" applyBorder="1" applyAlignment="1">
      <alignment horizontal="center" vertical="center"/>
    </xf>
    <xf numFmtId="49" fontId="3" fillId="0" borderId="16" xfId="0" applyNumberFormat="1" applyFont="1" applyBorder="1" applyAlignment="1">
      <alignment horizontal="center" vertical="center"/>
    </xf>
    <xf numFmtId="49" fontId="5" fillId="0" borderId="17" xfId="0" applyNumberFormat="1" applyFont="1" applyBorder="1" applyAlignment="1">
      <alignment horizontal="center" vertical="center"/>
    </xf>
    <xf numFmtId="49" fontId="4" fillId="0" borderId="18" xfId="0" applyNumberFormat="1" applyFont="1" applyBorder="1" applyAlignment="1">
      <alignment horizontal="center" vertical="center" wrapText="1"/>
    </xf>
    <xf numFmtId="49" fontId="4" fillId="0" borderId="19" xfId="0" applyNumberFormat="1" applyFont="1" applyBorder="1" applyAlignment="1">
      <alignment horizontal="center" vertical="center" wrapText="1"/>
    </xf>
    <xf numFmtId="49" fontId="4" fillId="0" borderId="20" xfId="0" applyNumberFormat="1" applyFont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4" fillId="0" borderId="23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3" fillId="0" borderId="24" xfId="0" applyNumberFormat="1" applyFont="1" applyBorder="1" applyAlignment="1">
      <alignment horizontal="center" vertical="center"/>
    </xf>
    <xf numFmtId="49" fontId="3" fillId="0" borderId="22" xfId="0" applyNumberFormat="1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center" vertical="center" wrapText="1"/>
    </xf>
    <xf numFmtId="49" fontId="5" fillId="0" borderId="0" xfId="0" applyNumberFormat="1" applyFont="1" applyAlignment="1">
      <alignment horizontal="center" vertical="center"/>
    </xf>
    <xf numFmtId="164" fontId="3" fillId="0" borderId="14" xfId="0" applyNumberFormat="1" applyFont="1" applyBorder="1" applyAlignment="1">
      <alignment horizontal="center" vertical="center"/>
    </xf>
    <xf numFmtId="164" fontId="3" fillId="0" borderId="10" xfId="0" applyNumberFormat="1" applyFont="1" applyBorder="1" applyAlignment="1">
      <alignment horizontal="center" vertical="center"/>
    </xf>
    <xf numFmtId="49" fontId="3" fillId="0" borderId="25" xfId="0" applyNumberFormat="1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Comma" xfId="44"/>
    <cellStyle name="Comma [0]" xfId="45"/>
    <cellStyle name="Currency" xfId="46"/>
    <cellStyle name="Currency [0]" xfId="47"/>
    <cellStyle name="Neutre" xfId="48"/>
    <cellStyle name="Not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95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33.37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1.75390625" style="5" bestFit="1" customWidth="1"/>
    <col min="7" max="7" width="9.875" style="6" customWidth="1"/>
    <col min="8" max="8" width="10.375" style="27" customWidth="1"/>
    <col min="9" max="9" width="7.875" style="20" bestFit="1" customWidth="1"/>
    <col min="10" max="10" width="9.375" style="6" bestFit="1" customWidth="1"/>
    <col min="11" max="11" width="25.25390625" style="5" customWidth="1"/>
    <col min="12" max="16384" width="9.125" style="3" customWidth="1"/>
  </cols>
  <sheetData>
    <row r="1" spans="1:11" s="2" customFormat="1" ht="28.5" customHeight="1">
      <c r="A1" s="36" t="s">
        <v>272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50" t="s">
        <v>1</v>
      </c>
      <c r="C3" s="46" t="s">
        <v>2</v>
      </c>
      <c r="D3" s="46" t="s">
        <v>3</v>
      </c>
      <c r="E3" s="31" t="s">
        <v>261</v>
      </c>
      <c r="F3" s="31" t="s">
        <v>4</v>
      </c>
      <c r="G3" s="31" t="s">
        <v>273</v>
      </c>
      <c r="H3" s="31"/>
      <c r="I3" s="48" t="s">
        <v>274</v>
      </c>
      <c r="J3" s="31" t="s">
        <v>5</v>
      </c>
      <c r="K3" s="33" t="s">
        <v>6</v>
      </c>
    </row>
    <row r="4" spans="1:11" s="1" customFormat="1" ht="21" customHeight="1" thickBot="1">
      <c r="A4" s="45"/>
      <c r="B4" s="51"/>
      <c r="C4" s="32"/>
      <c r="D4" s="32"/>
      <c r="E4" s="32"/>
      <c r="F4" s="32"/>
      <c r="G4" s="4" t="s">
        <v>275</v>
      </c>
      <c r="H4" s="25" t="s">
        <v>276</v>
      </c>
      <c r="I4" s="49"/>
      <c r="J4" s="32"/>
      <c r="K4" s="34"/>
    </row>
    <row r="5" spans="1:8" ht="15">
      <c r="A5" s="35" t="s">
        <v>47</v>
      </c>
      <c r="B5" s="35"/>
      <c r="C5" s="35"/>
      <c r="D5" s="35"/>
      <c r="E5" s="35"/>
      <c r="F5" s="35"/>
      <c r="G5" s="35"/>
      <c r="H5" s="35"/>
    </row>
    <row r="6" spans="1:11" ht="12.75">
      <c r="A6" s="8" t="s">
        <v>8</v>
      </c>
      <c r="B6" s="7" t="s">
        <v>277</v>
      </c>
      <c r="C6" s="7" t="s">
        <v>278</v>
      </c>
      <c r="D6" s="7" t="s">
        <v>279</v>
      </c>
      <c r="E6" s="7" t="str">
        <f>"1,0764"</f>
        <v>1,0764</v>
      </c>
      <c r="F6" s="7" t="s">
        <v>14</v>
      </c>
      <c r="G6" s="8" t="s">
        <v>42</v>
      </c>
      <c r="H6" s="26">
        <v>12</v>
      </c>
      <c r="I6" s="21" t="str">
        <f>"660,0"</f>
        <v>660,0</v>
      </c>
      <c r="J6" s="8" t="str">
        <f>"710,4240"</f>
        <v>710,4240</v>
      </c>
      <c r="K6" s="7" t="s">
        <v>46</v>
      </c>
    </row>
    <row r="7" ht="12.75">
      <c r="B7" s="5" t="s">
        <v>29</v>
      </c>
    </row>
    <row r="8" spans="1:8" ht="15">
      <c r="A8" s="47" t="s">
        <v>57</v>
      </c>
      <c r="B8" s="47"/>
      <c r="C8" s="47"/>
      <c r="D8" s="47"/>
      <c r="E8" s="47"/>
      <c r="F8" s="47"/>
      <c r="G8" s="47"/>
      <c r="H8" s="47"/>
    </row>
    <row r="9" spans="1:11" ht="12.75">
      <c r="A9" s="8" t="s">
        <v>8</v>
      </c>
      <c r="B9" s="7" t="s">
        <v>128</v>
      </c>
      <c r="C9" s="7" t="s">
        <v>129</v>
      </c>
      <c r="D9" s="7" t="s">
        <v>62</v>
      </c>
      <c r="E9" s="7" t="str">
        <f>"0,9969"</f>
        <v>0,9969</v>
      </c>
      <c r="F9" s="7" t="s">
        <v>67</v>
      </c>
      <c r="G9" s="8" t="s">
        <v>40</v>
      </c>
      <c r="H9" s="26">
        <v>20</v>
      </c>
      <c r="I9" s="21" t="str">
        <f>"1200,0"</f>
        <v>1200,0</v>
      </c>
      <c r="J9" s="8" t="str">
        <f>"1196,3400"</f>
        <v>1196,3400</v>
      </c>
      <c r="K9" s="7" t="s">
        <v>68</v>
      </c>
    </row>
    <row r="10" ht="12.75">
      <c r="B10" s="5" t="s">
        <v>29</v>
      </c>
    </row>
    <row r="11" spans="1:8" ht="15">
      <c r="A11" s="47" t="s">
        <v>64</v>
      </c>
      <c r="B11" s="47"/>
      <c r="C11" s="47"/>
      <c r="D11" s="47"/>
      <c r="E11" s="47"/>
      <c r="F11" s="47"/>
      <c r="G11" s="47"/>
      <c r="H11" s="47"/>
    </row>
    <row r="12" spans="1:11" ht="12.75">
      <c r="A12" s="8" t="s">
        <v>8</v>
      </c>
      <c r="B12" s="7" t="s">
        <v>280</v>
      </c>
      <c r="C12" s="7" t="s">
        <v>281</v>
      </c>
      <c r="D12" s="7" t="s">
        <v>282</v>
      </c>
      <c r="E12" s="7" t="str">
        <f>"0,9824"</f>
        <v>0,9824</v>
      </c>
      <c r="F12" s="7" t="s">
        <v>14</v>
      </c>
      <c r="G12" s="8" t="s">
        <v>10</v>
      </c>
      <c r="H12" s="26">
        <v>19</v>
      </c>
      <c r="I12" s="21" t="str">
        <f>"1187,5"</f>
        <v>1187,5</v>
      </c>
      <c r="J12" s="8" t="str">
        <f>"1166,6000"</f>
        <v>1166,6000</v>
      </c>
      <c r="K12" s="7" t="s">
        <v>46</v>
      </c>
    </row>
    <row r="13" ht="12.75">
      <c r="B13" s="5" t="s">
        <v>29</v>
      </c>
    </row>
    <row r="14" spans="1:8" ht="15">
      <c r="A14" s="47" t="s">
        <v>57</v>
      </c>
      <c r="B14" s="47"/>
      <c r="C14" s="47"/>
      <c r="D14" s="47"/>
      <c r="E14" s="47"/>
      <c r="F14" s="47"/>
      <c r="G14" s="47"/>
      <c r="H14" s="47"/>
    </row>
    <row r="15" spans="1:11" ht="12.75">
      <c r="A15" s="10" t="s">
        <v>8</v>
      </c>
      <c r="B15" s="9" t="s">
        <v>283</v>
      </c>
      <c r="C15" s="9" t="s">
        <v>284</v>
      </c>
      <c r="D15" s="9" t="s">
        <v>285</v>
      </c>
      <c r="E15" s="9" t="str">
        <f>"0,8356"</f>
        <v>0,8356</v>
      </c>
      <c r="F15" s="9" t="s">
        <v>115</v>
      </c>
      <c r="G15" s="10" t="s">
        <v>40</v>
      </c>
      <c r="H15" s="28">
        <v>46</v>
      </c>
      <c r="I15" s="22" t="str">
        <f>"2760,0"</f>
        <v>2760,0</v>
      </c>
      <c r="J15" s="10" t="str">
        <f>"2306,1180"</f>
        <v>2306,1180</v>
      </c>
      <c r="K15" s="9" t="s">
        <v>286</v>
      </c>
    </row>
    <row r="16" spans="1:11" ht="12.75">
      <c r="A16" s="12" t="s">
        <v>13</v>
      </c>
      <c r="B16" s="11" t="s">
        <v>196</v>
      </c>
      <c r="C16" s="11" t="s">
        <v>287</v>
      </c>
      <c r="D16" s="11" t="s">
        <v>285</v>
      </c>
      <c r="E16" s="11" t="str">
        <f>"0,8356"</f>
        <v>0,8356</v>
      </c>
      <c r="F16" s="11" t="s">
        <v>65</v>
      </c>
      <c r="G16" s="12" t="s">
        <v>40</v>
      </c>
      <c r="H16" s="29">
        <v>37</v>
      </c>
      <c r="I16" s="23" t="str">
        <f>"2220,0"</f>
        <v>2220,0</v>
      </c>
      <c r="J16" s="12" t="str">
        <f>"1854,9210"</f>
        <v>1854,9210</v>
      </c>
      <c r="K16" s="11" t="s">
        <v>46</v>
      </c>
    </row>
    <row r="17" spans="1:11" ht="12.75">
      <c r="A17" s="14" t="s">
        <v>8</v>
      </c>
      <c r="B17" s="13" t="s">
        <v>283</v>
      </c>
      <c r="C17" s="13" t="s">
        <v>288</v>
      </c>
      <c r="D17" s="13" t="s">
        <v>285</v>
      </c>
      <c r="E17" s="13" t="str">
        <f>"0,8356"</f>
        <v>0,8356</v>
      </c>
      <c r="F17" s="13" t="s">
        <v>115</v>
      </c>
      <c r="G17" s="14" t="s">
        <v>40</v>
      </c>
      <c r="H17" s="30">
        <v>46</v>
      </c>
      <c r="I17" s="24" t="str">
        <f>"2760,0"</f>
        <v>2760,0</v>
      </c>
      <c r="J17" s="14" t="str">
        <f>"2645,1174"</f>
        <v>2645,1174</v>
      </c>
      <c r="K17" s="13" t="s">
        <v>286</v>
      </c>
    </row>
    <row r="18" ht="12.75">
      <c r="B18" s="5" t="s">
        <v>29</v>
      </c>
    </row>
    <row r="19" spans="1:8" ht="15">
      <c r="A19" s="47" t="s">
        <v>64</v>
      </c>
      <c r="B19" s="47"/>
      <c r="C19" s="47"/>
      <c r="D19" s="47"/>
      <c r="E19" s="47"/>
      <c r="F19" s="47"/>
      <c r="G19" s="47"/>
      <c r="H19" s="47"/>
    </row>
    <row r="20" spans="1:11" ht="12.75">
      <c r="A20" s="10" t="s">
        <v>8</v>
      </c>
      <c r="B20" s="9" t="s">
        <v>171</v>
      </c>
      <c r="C20" s="9" t="s">
        <v>172</v>
      </c>
      <c r="D20" s="9" t="s">
        <v>66</v>
      </c>
      <c r="E20" s="9" t="str">
        <f>"0,7513"</f>
        <v>0,7513</v>
      </c>
      <c r="F20" s="9" t="s">
        <v>38</v>
      </c>
      <c r="G20" s="10" t="s">
        <v>12</v>
      </c>
      <c r="H20" s="28">
        <v>51</v>
      </c>
      <c r="I20" s="22" t="str">
        <f>"3442,5"</f>
        <v>3442,5</v>
      </c>
      <c r="J20" s="10" t="str">
        <f>"2586,1782"</f>
        <v>2586,1782</v>
      </c>
      <c r="K20" s="9" t="s">
        <v>46</v>
      </c>
    </row>
    <row r="21" spans="1:11" ht="12.75">
      <c r="A21" s="12" t="s">
        <v>13</v>
      </c>
      <c r="B21" s="11" t="s">
        <v>289</v>
      </c>
      <c r="C21" s="11" t="s">
        <v>290</v>
      </c>
      <c r="D21" s="11" t="s">
        <v>291</v>
      </c>
      <c r="E21" s="11" t="str">
        <f>"0,7754"</f>
        <v>0,7754</v>
      </c>
      <c r="F21" s="11" t="s">
        <v>292</v>
      </c>
      <c r="G21" s="12" t="s">
        <v>11</v>
      </c>
      <c r="H21" s="29">
        <v>42</v>
      </c>
      <c r="I21" s="23" t="str">
        <f>"2730,0"</f>
        <v>2730,0</v>
      </c>
      <c r="J21" s="12" t="str">
        <f>"2116,8420"</f>
        <v>2116,8420</v>
      </c>
      <c r="K21" s="11" t="s">
        <v>46</v>
      </c>
    </row>
    <row r="22" spans="1:11" ht="12.75">
      <c r="A22" s="14" t="s">
        <v>21</v>
      </c>
      <c r="B22" s="13" t="s">
        <v>173</v>
      </c>
      <c r="C22" s="13" t="s">
        <v>174</v>
      </c>
      <c r="D22" s="13" t="s">
        <v>293</v>
      </c>
      <c r="E22" s="13" t="str">
        <f>"0,7919"</f>
        <v>0,7919</v>
      </c>
      <c r="F22" s="13" t="s">
        <v>175</v>
      </c>
      <c r="G22" s="14" t="s">
        <v>11</v>
      </c>
      <c r="H22" s="30">
        <v>37</v>
      </c>
      <c r="I22" s="24" t="str">
        <f>"2405,0"</f>
        <v>2405,0</v>
      </c>
      <c r="J22" s="14" t="str">
        <f>"1904,6397"</f>
        <v>1904,6397</v>
      </c>
      <c r="K22" s="13" t="s">
        <v>46</v>
      </c>
    </row>
    <row r="23" ht="12.75">
      <c r="B23" s="5" t="s">
        <v>29</v>
      </c>
    </row>
    <row r="24" spans="1:8" ht="15">
      <c r="A24" s="47" t="s">
        <v>72</v>
      </c>
      <c r="B24" s="47"/>
      <c r="C24" s="47"/>
      <c r="D24" s="47"/>
      <c r="E24" s="47"/>
      <c r="F24" s="47"/>
      <c r="G24" s="47"/>
      <c r="H24" s="47"/>
    </row>
    <row r="25" spans="1:11" ht="12.75">
      <c r="A25" s="10" t="s">
        <v>8</v>
      </c>
      <c r="B25" s="9" t="s">
        <v>294</v>
      </c>
      <c r="C25" s="9" t="s">
        <v>295</v>
      </c>
      <c r="D25" s="9" t="s">
        <v>296</v>
      </c>
      <c r="E25" s="9" t="str">
        <f>"0,7117"</f>
        <v>0,7117</v>
      </c>
      <c r="F25" s="9" t="s">
        <v>169</v>
      </c>
      <c r="G25" s="10" t="s">
        <v>36</v>
      </c>
      <c r="H25" s="28">
        <v>56</v>
      </c>
      <c r="I25" s="22" t="str">
        <f>"4060,0"</f>
        <v>4060,0</v>
      </c>
      <c r="J25" s="10" t="str">
        <f>"2889,5021"</f>
        <v>2889,5021</v>
      </c>
      <c r="K25" s="9" t="s">
        <v>46</v>
      </c>
    </row>
    <row r="26" spans="1:11" ht="12.75">
      <c r="A26" s="12" t="s">
        <v>8</v>
      </c>
      <c r="B26" s="11" t="s">
        <v>297</v>
      </c>
      <c r="C26" s="11" t="s">
        <v>298</v>
      </c>
      <c r="D26" s="11" t="s">
        <v>299</v>
      </c>
      <c r="E26" s="11" t="str">
        <f>"0,6940"</f>
        <v>0,6940</v>
      </c>
      <c r="F26" s="11" t="s">
        <v>14</v>
      </c>
      <c r="G26" s="12" t="s">
        <v>56</v>
      </c>
      <c r="H26" s="29">
        <v>38</v>
      </c>
      <c r="I26" s="23" t="str">
        <f>"2850,0"</f>
        <v>2850,0</v>
      </c>
      <c r="J26" s="12" t="str">
        <f>"2112,3972"</f>
        <v>2112,3972</v>
      </c>
      <c r="K26" s="11" t="s">
        <v>46</v>
      </c>
    </row>
    <row r="27" spans="1:11" ht="12.75">
      <c r="A27" s="12" t="s">
        <v>13</v>
      </c>
      <c r="B27" s="11" t="s">
        <v>300</v>
      </c>
      <c r="C27" s="11" t="s">
        <v>301</v>
      </c>
      <c r="D27" s="11" t="s">
        <v>302</v>
      </c>
      <c r="E27" s="11" t="str">
        <f>"0,7262"</f>
        <v>0,7262</v>
      </c>
      <c r="F27" s="11" t="s">
        <v>14</v>
      </c>
      <c r="G27" s="12" t="s">
        <v>49</v>
      </c>
      <c r="H27" s="29">
        <v>31</v>
      </c>
      <c r="I27" s="23" t="str">
        <f>"2170,0"</f>
        <v>2170,0</v>
      </c>
      <c r="J27" s="12" t="str">
        <f>"1643,7289"</f>
        <v>1643,7289</v>
      </c>
      <c r="K27" s="11" t="s">
        <v>46</v>
      </c>
    </row>
    <row r="28" spans="1:11" ht="12.75">
      <c r="A28" s="14" t="s">
        <v>21</v>
      </c>
      <c r="B28" s="13" t="s">
        <v>178</v>
      </c>
      <c r="C28" s="13" t="s">
        <v>179</v>
      </c>
      <c r="D28" s="13" t="s">
        <v>79</v>
      </c>
      <c r="E28" s="13" t="str">
        <f>"0,6892"</f>
        <v>0,6892</v>
      </c>
      <c r="F28" s="13" t="s">
        <v>180</v>
      </c>
      <c r="G28" s="14" t="s">
        <v>56</v>
      </c>
      <c r="H28" s="30">
        <v>28</v>
      </c>
      <c r="I28" s="24" t="str">
        <f>"2100,0"</f>
        <v>2100,0</v>
      </c>
      <c r="J28" s="14" t="str">
        <f>"1492,1869"</f>
        <v>1492,1869</v>
      </c>
      <c r="K28" s="13" t="s">
        <v>46</v>
      </c>
    </row>
    <row r="29" ht="12.75">
      <c r="B29" s="5" t="s">
        <v>29</v>
      </c>
    </row>
    <row r="30" spans="1:8" ht="15">
      <c r="A30" s="47" t="s">
        <v>75</v>
      </c>
      <c r="B30" s="47"/>
      <c r="C30" s="47"/>
      <c r="D30" s="47"/>
      <c r="E30" s="47"/>
      <c r="F30" s="47"/>
      <c r="G30" s="47"/>
      <c r="H30" s="47"/>
    </row>
    <row r="31" spans="1:11" ht="12.75">
      <c r="A31" s="10" t="s">
        <v>8</v>
      </c>
      <c r="B31" s="9" t="s">
        <v>185</v>
      </c>
      <c r="C31" s="9" t="s">
        <v>186</v>
      </c>
      <c r="D31" s="9" t="s">
        <v>86</v>
      </c>
      <c r="E31" s="9" t="str">
        <f>"0,6456"</f>
        <v>0,6456</v>
      </c>
      <c r="F31" s="9" t="s">
        <v>153</v>
      </c>
      <c r="G31" s="10" t="s">
        <v>63</v>
      </c>
      <c r="H31" s="28">
        <v>46</v>
      </c>
      <c r="I31" s="22" t="str">
        <f>"3795,0"</f>
        <v>3795,0</v>
      </c>
      <c r="J31" s="10" t="str">
        <f>"2450,0521"</f>
        <v>2450,0521</v>
      </c>
      <c r="K31" s="9" t="s">
        <v>46</v>
      </c>
    </row>
    <row r="32" spans="1:11" ht="12.75">
      <c r="A32" s="12" t="s">
        <v>13</v>
      </c>
      <c r="B32" s="11" t="s">
        <v>303</v>
      </c>
      <c r="C32" s="11" t="s">
        <v>304</v>
      </c>
      <c r="D32" s="11" t="s">
        <v>305</v>
      </c>
      <c r="E32" s="11" t="str">
        <f>"0,6724"</f>
        <v>0,6724</v>
      </c>
      <c r="F32" s="11" t="s">
        <v>187</v>
      </c>
      <c r="G32" s="12" t="s">
        <v>37</v>
      </c>
      <c r="H32" s="29">
        <v>30</v>
      </c>
      <c r="I32" s="23" t="str">
        <f>"2325,0"</f>
        <v>2325,0</v>
      </c>
      <c r="J32" s="12" t="str">
        <f>"1563,3300"</f>
        <v>1563,3300</v>
      </c>
      <c r="K32" s="11" t="s">
        <v>46</v>
      </c>
    </row>
    <row r="33" spans="1:11" ht="12.75">
      <c r="A33" s="12" t="s">
        <v>21</v>
      </c>
      <c r="B33" s="11" t="s">
        <v>306</v>
      </c>
      <c r="C33" s="11" t="s">
        <v>307</v>
      </c>
      <c r="D33" s="11" t="s">
        <v>85</v>
      </c>
      <c r="E33" s="11" t="str">
        <f>"0,6540"</f>
        <v>0,6540</v>
      </c>
      <c r="F33" s="11" t="s">
        <v>308</v>
      </c>
      <c r="G33" s="12" t="s">
        <v>63</v>
      </c>
      <c r="H33" s="29">
        <v>23</v>
      </c>
      <c r="I33" s="23" t="str">
        <f>"1897,5"</f>
        <v>1897,5</v>
      </c>
      <c r="J33" s="12" t="str">
        <f>"1240,9650"</f>
        <v>1240,9650</v>
      </c>
      <c r="K33" s="11" t="s">
        <v>46</v>
      </c>
    </row>
    <row r="34" spans="1:11" ht="12.75">
      <c r="A34" s="12" t="s">
        <v>8</v>
      </c>
      <c r="B34" s="11" t="s">
        <v>185</v>
      </c>
      <c r="C34" s="11" t="s">
        <v>160</v>
      </c>
      <c r="D34" s="11" t="s">
        <v>86</v>
      </c>
      <c r="E34" s="11" t="str">
        <f>"0,6456"</f>
        <v>0,6456</v>
      </c>
      <c r="F34" s="11" t="s">
        <v>153</v>
      </c>
      <c r="G34" s="12" t="s">
        <v>63</v>
      </c>
      <c r="H34" s="29">
        <v>46</v>
      </c>
      <c r="I34" s="23" t="str">
        <f>"3795,0"</f>
        <v>3795,0</v>
      </c>
      <c r="J34" s="12" t="str">
        <f>"2650,9563"</f>
        <v>2650,9563</v>
      </c>
      <c r="K34" s="11" t="s">
        <v>46</v>
      </c>
    </row>
    <row r="35" spans="1:11" ht="12.75">
      <c r="A35" s="12" t="s">
        <v>13</v>
      </c>
      <c r="B35" s="11" t="s">
        <v>309</v>
      </c>
      <c r="C35" s="11" t="s">
        <v>310</v>
      </c>
      <c r="D35" s="11" t="s">
        <v>311</v>
      </c>
      <c r="E35" s="11" t="str">
        <f>"0,6658"</f>
        <v>0,6658</v>
      </c>
      <c r="F35" s="11" t="s">
        <v>183</v>
      </c>
      <c r="G35" s="12" t="s">
        <v>32</v>
      </c>
      <c r="H35" s="29">
        <v>20</v>
      </c>
      <c r="I35" s="23" t="str">
        <f>"1600,0"</f>
        <v>1600,0</v>
      </c>
      <c r="J35" s="12" t="str">
        <f>"1185,7457"</f>
        <v>1185,7457</v>
      </c>
      <c r="K35" s="11" t="s">
        <v>46</v>
      </c>
    </row>
    <row r="36" spans="1:11" ht="12.75">
      <c r="A36" s="12" t="s">
        <v>21</v>
      </c>
      <c r="B36" s="11" t="s">
        <v>312</v>
      </c>
      <c r="C36" s="11" t="s">
        <v>313</v>
      </c>
      <c r="D36" s="11" t="s">
        <v>80</v>
      </c>
      <c r="E36" s="11" t="str">
        <f>"0,6578"</f>
        <v>0,6578</v>
      </c>
      <c r="F36" s="11" t="s">
        <v>314</v>
      </c>
      <c r="G36" s="12" t="s">
        <v>32</v>
      </c>
      <c r="H36" s="29">
        <v>17</v>
      </c>
      <c r="I36" s="23" t="str">
        <f>"1360,0"</f>
        <v>1360,0</v>
      </c>
      <c r="J36" s="12" t="str">
        <f>"903,5541"</f>
        <v>903,5541</v>
      </c>
      <c r="K36" s="11" t="s">
        <v>46</v>
      </c>
    </row>
    <row r="37" spans="1:11" ht="12.75">
      <c r="A37" s="12" t="s">
        <v>43</v>
      </c>
      <c r="B37" s="11" t="s">
        <v>315</v>
      </c>
      <c r="C37" s="11" t="s">
        <v>316</v>
      </c>
      <c r="D37" s="11" t="s">
        <v>84</v>
      </c>
      <c r="E37" s="11" t="str">
        <f>"0,6461"</f>
        <v>0,6461</v>
      </c>
      <c r="F37" s="11" t="s">
        <v>14</v>
      </c>
      <c r="G37" s="12" t="s">
        <v>63</v>
      </c>
      <c r="H37" s="29">
        <v>14</v>
      </c>
      <c r="I37" s="23" t="str">
        <f>"1155,0"</f>
        <v>1155,0</v>
      </c>
      <c r="J37" s="12" t="str">
        <f>"753,7663"</f>
        <v>753,7663</v>
      </c>
      <c r="K37" s="11" t="s">
        <v>71</v>
      </c>
    </row>
    <row r="38" spans="1:11" ht="12.75">
      <c r="A38" s="12" t="s">
        <v>8</v>
      </c>
      <c r="B38" s="11" t="s">
        <v>189</v>
      </c>
      <c r="C38" s="11" t="s">
        <v>190</v>
      </c>
      <c r="D38" s="11" t="s">
        <v>83</v>
      </c>
      <c r="E38" s="11" t="str">
        <f>"0,6497"</f>
        <v>0,6497</v>
      </c>
      <c r="F38" s="11" t="s">
        <v>93</v>
      </c>
      <c r="G38" s="12" t="s">
        <v>63</v>
      </c>
      <c r="H38" s="29">
        <v>41</v>
      </c>
      <c r="I38" s="23" t="str">
        <f>"3382,5"</f>
        <v>3382,5</v>
      </c>
      <c r="J38" s="12" t="str">
        <f>"2483,4907"</f>
        <v>2483,4907</v>
      </c>
      <c r="K38" s="11" t="s">
        <v>46</v>
      </c>
    </row>
    <row r="39" spans="1:11" ht="12.75">
      <c r="A39" s="14" t="s">
        <v>13</v>
      </c>
      <c r="B39" s="13" t="s">
        <v>191</v>
      </c>
      <c r="C39" s="13" t="s">
        <v>192</v>
      </c>
      <c r="D39" s="13" t="s">
        <v>193</v>
      </c>
      <c r="E39" s="13" t="str">
        <f>"0,6819"</f>
        <v>0,6819</v>
      </c>
      <c r="F39" s="13" t="s">
        <v>194</v>
      </c>
      <c r="G39" s="14" t="s">
        <v>37</v>
      </c>
      <c r="H39" s="30">
        <v>33</v>
      </c>
      <c r="I39" s="24" t="str">
        <f>"2557,5"</f>
        <v>2557,5</v>
      </c>
      <c r="J39" s="14" t="str">
        <f>"2251,4515"</f>
        <v>2251,4515</v>
      </c>
      <c r="K39" s="13" t="s">
        <v>195</v>
      </c>
    </row>
    <row r="40" ht="12.75">
      <c r="B40" s="5" t="s">
        <v>29</v>
      </c>
    </row>
    <row r="41" spans="1:8" ht="15">
      <c r="A41" s="47" t="s">
        <v>76</v>
      </c>
      <c r="B41" s="47"/>
      <c r="C41" s="47"/>
      <c r="D41" s="47"/>
      <c r="E41" s="47"/>
      <c r="F41" s="47"/>
      <c r="G41" s="47"/>
      <c r="H41" s="47"/>
    </row>
    <row r="42" spans="1:11" ht="12.75">
      <c r="A42" s="10" t="s">
        <v>8</v>
      </c>
      <c r="B42" s="9" t="s">
        <v>317</v>
      </c>
      <c r="C42" s="9" t="s">
        <v>318</v>
      </c>
      <c r="D42" s="9" t="s">
        <v>117</v>
      </c>
      <c r="E42" s="9" t="str">
        <f>"0,6308"</f>
        <v>0,6308</v>
      </c>
      <c r="F42" s="9" t="s">
        <v>319</v>
      </c>
      <c r="G42" s="10" t="s">
        <v>41</v>
      </c>
      <c r="H42" s="28">
        <v>14</v>
      </c>
      <c r="I42" s="22" t="str">
        <f>"1225,0"</f>
        <v>1225,0</v>
      </c>
      <c r="J42" s="10" t="str">
        <f>"772,7300"</f>
        <v>772,7300</v>
      </c>
      <c r="K42" s="9" t="s">
        <v>320</v>
      </c>
    </row>
    <row r="43" spans="1:11" ht="12.75">
      <c r="A43" s="12" t="s">
        <v>8</v>
      </c>
      <c r="B43" s="11" t="s">
        <v>321</v>
      </c>
      <c r="C43" s="11" t="s">
        <v>322</v>
      </c>
      <c r="D43" s="11" t="s">
        <v>142</v>
      </c>
      <c r="E43" s="11" t="str">
        <f>"0,6234"</f>
        <v>0,6234</v>
      </c>
      <c r="F43" s="11" t="s">
        <v>14</v>
      </c>
      <c r="G43" s="12" t="s">
        <v>41</v>
      </c>
      <c r="H43" s="29">
        <v>50</v>
      </c>
      <c r="I43" s="23" t="str">
        <f>"4375,0"</f>
        <v>4375,0</v>
      </c>
      <c r="J43" s="12" t="str">
        <f>"2727,3749"</f>
        <v>2727,3749</v>
      </c>
      <c r="K43" s="11" t="s">
        <v>46</v>
      </c>
    </row>
    <row r="44" spans="1:11" ht="12.75">
      <c r="A44" s="12" t="s">
        <v>13</v>
      </c>
      <c r="B44" s="11" t="s">
        <v>323</v>
      </c>
      <c r="C44" s="11" t="s">
        <v>324</v>
      </c>
      <c r="D44" s="11" t="s">
        <v>120</v>
      </c>
      <c r="E44" s="11" t="str">
        <f>"0,6133"</f>
        <v>0,6133</v>
      </c>
      <c r="F44" s="11" t="s">
        <v>325</v>
      </c>
      <c r="G44" s="12" t="s">
        <v>23</v>
      </c>
      <c r="H44" s="29">
        <v>37</v>
      </c>
      <c r="I44" s="23" t="str">
        <f>"3330,0"</f>
        <v>3330,0</v>
      </c>
      <c r="J44" s="12" t="str">
        <f>"2042,4554"</f>
        <v>2042,4554</v>
      </c>
      <c r="K44" s="11" t="s">
        <v>326</v>
      </c>
    </row>
    <row r="45" spans="1:11" ht="12.75">
      <c r="A45" s="12" t="s">
        <v>21</v>
      </c>
      <c r="B45" s="11" t="s">
        <v>199</v>
      </c>
      <c r="C45" s="11" t="s">
        <v>200</v>
      </c>
      <c r="D45" s="11" t="s">
        <v>89</v>
      </c>
      <c r="E45" s="11" t="str">
        <f>"0,6209"</f>
        <v>0,6209</v>
      </c>
      <c r="F45" s="11" t="s">
        <v>134</v>
      </c>
      <c r="G45" s="12" t="s">
        <v>23</v>
      </c>
      <c r="H45" s="29">
        <v>27</v>
      </c>
      <c r="I45" s="23" t="str">
        <f>"2430,0"</f>
        <v>2430,0</v>
      </c>
      <c r="J45" s="12" t="str">
        <f>"1508,7869"</f>
        <v>1508,7869</v>
      </c>
      <c r="K45" s="11" t="s">
        <v>46</v>
      </c>
    </row>
    <row r="46" spans="1:11" ht="12.75">
      <c r="A46" s="12" t="s">
        <v>43</v>
      </c>
      <c r="B46" s="11" t="s">
        <v>327</v>
      </c>
      <c r="C46" s="11" t="s">
        <v>328</v>
      </c>
      <c r="D46" s="11" t="s">
        <v>90</v>
      </c>
      <c r="E46" s="11" t="str">
        <f>"0,6255"</f>
        <v>0,6255</v>
      </c>
      <c r="F46" s="11" t="s">
        <v>232</v>
      </c>
      <c r="G46" s="12" t="s">
        <v>41</v>
      </c>
      <c r="H46" s="29">
        <v>26</v>
      </c>
      <c r="I46" s="23" t="str">
        <f>"2275,0"</f>
        <v>2275,0</v>
      </c>
      <c r="J46" s="12" t="str">
        <f>"1423,0126"</f>
        <v>1423,0126</v>
      </c>
      <c r="K46" s="11" t="s">
        <v>46</v>
      </c>
    </row>
    <row r="47" spans="1:11" ht="12.75">
      <c r="A47" s="12" t="s">
        <v>53</v>
      </c>
      <c r="B47" s="11" t="s">
        <v>150</v>
      </c>
      <c r="C47" s="11" t="s">
        <v>151</v>
      </c>
      <c r="D47" s="11" t="s">
        <v>197</v>
      </c>
      <c r="E47" s="11" t="str">
        <f>"0,6242"</f>
        <v>0,6242</v>
      </c>
      <c r="F47" s="11" t="s">
        <v>81</v>
      </c>
      <c r="G47" s="12" t="s">
        <v>41</v>
      </c>
      <c r="H47" s="29">
        <v>26</v>
      </c>
      <c r="I47" s="23" t="str">
        <f>"2275,0"</f>
        <v>2275,0</v>
      </c>
      <c r="J47" s="12" t="str">
        <f>"1420,1687"</f>
        <v>1420,1687</v>
      </c>
      <c r="K47" s="11" t="s">
        <v>152</v>
      </c>
    </row>
    <row r="48" spans="1:11" ht="12.75">
      <c r="A48" s="12" t="s">
        <v>45</v>
      </c>
      <c r="B48" s="11" t="s">
        <v>329</v>
      </c>
      <c r="C48" s="11" t="s">
        <v>330</v>
      </c>
      <c r="D48" s="11" t="s">
        <v>331</v>
      </c>
      <c r="E48" s="11" t="str">
        <f>"0,6326"</f>
        <v>0,6326</v>
      </c>
      <c r="F48" s="11" t="s">
        <v>332</v>
      </c>
      <c r="G48" s="12" t="s">
        <v>22</v>
      </c>
      <c r="H48" s="29">
        <v>5</v>
      </c>
      <c r="I48" s="23">
        <v>0</v>
      </c>
      <c r="J48" s="12" t="str">
        <f>"0,0000"</f>
        <v>0,0000</v>
      </c>
      <c r="K48" s="11" t="s">
        <v>333</v>
      </c>
    </row>
    <row r="49" spans="1:11" ht="12.75">
      <c r="A49" s="12" t="s">
        <v>8</v>
      </c>
      <c r="B49" s="11" t="s">
        <v>321</v>
      </c>
      <c r="C49" s="11" t="s">
        <v>334</v>
      </c>
      <c r="D49" s="11" t="s">
        <v>142</v>
      </c>
      <c r="E49" s="11" t="str">
        <f>"0,6234"</f>
        <v>0,6234</v>
      </c>
      <c r="F49" s="11" t="s">
        <v>14</v>
      </c>
      <c r="G49" s="12" t="s">
        <v>41</v>
      </c>
      <c r="H49" s="29">
        <v>50</v>
      </c>
      <c r="I49" s="23" t="str">
        <f>"4375,0"</f>
        <v>4375,0</v>
      </c>
      <c r="J49" s="12" t="str">
        <f>"2991,9302"</f>
        <v>2991,9302</v>
      </c>
      <c r="K49" s="11" t="s">
        <v>46</v>
      </c>
    </row>
    <row r="50" spans="1:11" ht="12.75">
      <c r="A50" s="12" t="s">
        <v>8</v>
      </c>
      <c r="B50" s="11" t="s">
        <v>323</v>
      </c>
      <c r="C50" s="11" t="s">
        <v>335</v>
      </c>
      <c r="D50" s="11" t="s">
        <v>120</v>
      </c>
      <c r="E50" s="11" t="str">
        <f>"0,6133"</f>
        <v>0,6133</v>
      </c>
      <c r="F50" s="11" t="s">
        <v>325</v>
      </c>
      <c r="G50" s="12" t="s">
        <v>23</v>
      </c>
      <c r="H50" s="29">
        <v>37</v>
      </c>
      <c r="I50" s="23" t="str">
        <f>"3330,0"</f>
        <v>3330,0</v>
      </c>
      <c r="J50" s="12" t="str">
        <f>"2418,2672"</f>
        <v>2418,2672</v>
      </c>
      <c r="K50" s="11" t="s">
        <v>326</v>
      </c>
    </row>
    <row r="51" spans="1:11" ht="12.75">
      <c r="A51" s="12" t="s">
        <v>13</v>
      </c>
      <c r="B51" s="11" t="s">
        <v>336</v>
      </c>
      <c r="C51" s="11" t="s">
        <v>337</v>
      </c>
      <c r="D51" s="11" t="s">
        <v>87</v>
      </c>
      <c r="E51" s="11" t="str">
        <f>"0,6119"</f>
        <v>0,6119</v>
      </c>
      <c r="F51" s="11" t="s">
        <v>31</v>
      </c>
      <c r="G51" s="12" t="s">
        <v>23</v>
      </c>
      <c r="H51" s="29">
        <v>26</v>
      </c>
      <c r="I51" s="23" t="str">
        <f>"2340,0"</f>
        <v>2340,0</v>
      </c>
      <c r="J51" s="12" t="str">
        <f>"1695,1672"</f>
        <v>1695,1672</v>
      </c>
      <c r="K51" s="11" t="s">
        <v>46</v>
      </c>
    </row>
    <row r="52" spans="1:11" ht="12.75">
      <c r="A52" s="12" t="s">
        <v>21</v>
      </c>
      <c r="B52" s="11" t="s">
        <v>202</v>
      </c>
      <c r="C52" s="11" t="s">
        <v>203</v>
      </c>
      <c r="D52" s="11" t="s">
        <v>143</v>
      </c>
      <c r="E52" s="11" t="str">
        <f>"0,6277"</f>
        <v>0,6277</v>
      </c>
      <c r="F52" s="11" t="s">
        <v>204</v>
      </c>
      <c r="G52" s="12" t="s">
        <v>41</v>
      </c>
      <c r="H52" s="29">
        <v>23</v>
      </c>
      <c r="I52" s="23" t="str">
        <f>"2012,5"</f>
        <v>2012,5</v>
      </c>
      <c r="J52" s="12" t="str">
        <f>"1471,6818"</f>
        <v>1471,6818</v>
      </c>
      <c r="K52" s="11" t="s">
        <v>205</v>
      </c>
    </row>
    <row r="53" spans="1:11" ht="12.75">
      <c r="A53" s="12" t="s">
        <v>43</v>
      </c>
      <c r="B53" s="11" t="s">
        <v>206</v>
      </c>
      <c r="C53" s="11" t="s">
        <v>207</v>
      </c>
      <c r="D53" s="11" t="s">
        <v>119</v>
      </c>
      <c r="E53" s="11" t="str">
        <f>"0,6273"</f>
        <v>0,6273</v>
      </c>
      <c r="F53" s="11" t="s">
        <v>208</v>
      </c>
      <c r="G53" s="12" t="s">
        <v>41</v>
      </c>
      <c r="H53" s="29">
        <v>16</v>
      </c>
      <c r="I53" s="23" t="str">
        <f>"1400,0"</f>
        <v>1400,0</v>
      </c>
      <c r="J53" s="12" t="str">
        <f>"1057,2926"</f>
        <v>1057,2926</v>
      </c>
      <c r="K53" s="11" t="s">
        <v>46</v>
      </c>
    </row>
    <row r="54" spans="1:11" ht="12.75">
      <c r="A54" s="12" t="s">
        <v>8</v>
      </c>
      <c r="B54" s="11" t="s">
        <v>338</v>
      </c>
      <c r="C54" s="11" t="s">
        <v>339</v>
      </c>
      <c r="D54" s="11" t="s">
        <v>154</v>
      </c>
      <c r="E54" s="11" t="str">
        <f>"0,6281"</f>
        <v>0,6281</v>
      </c>
      <c r="F54" s="11" t="s">
        <v>149</v>
      </c>
      <c r="G54" s="12" t="s">
        <v>41</v>
      </c>
      <c r="H54" s="29">
        <v>24</v>
      </c>
      <c r="I54" s="23" t="str">
        <f>"2100,0"</f>
        <v>2100,0</v>
      </c>
      <c r="J54" s="12" t="str">
        <f>"1837,3809"</f>
        <v>1837,3809</v>
      </c>
      <c r="K54" s="11" t="s">
        <v>46</v>
      </c>
    </row>
    <row r="55" spans="1:11" ht="12.75">
      <c r="A55" s="14" t="s">
        <v>13</v>
      </c>
      <c r="B55" s="13" t="s">
        <v>209</v>
      </c>
      <c r="C55" s="13" t="s">
        <v>340</v>
      </c>
      <c r="D55" s="13" t="s">
        <v>210</v>
      </c>
      <c r="E55" s="13" t="str">
        <f>"0,6402"</f>
        <v>0,6402</v>
      </c>
      <c r="F55" s="13" t="s">
        <v>127</v>
      </c>
      <c r="G55" s="14" t="s">
        <v>22</v>
      </c>
      <c r="H55" s="30">
        <v>17</v>
      </c>
      <c r="I55" s="24" t="str">
        <f>"1445,0"</f>
        <v>1445,0</v>
      </c>
      <c r="J55" s="14" t="str">
        <f>"1774,1822"</f>
        <v>1774,1822</v>
      </c>
      <c r="K55" s="13" t="s">
        <v>46</v>
      </c>
    </row>
    <row r="56" ht="12.75">
      <c r="B56" s="5" t="s">
        <v>29</v>
      </c>
    </row>
    <row r="57" spans="1:8" ht="15">
      <c r="A57" s="47" t="s">
        <v>92</v>
      </c>
      <c r="B57" s="47"/>
      <c r="C57" s="47"/>
      <c r="D57" s="47"/>
      <c r="E57" s="47"/>
      <c r="F57" s="47"/>
      <c r="G57" s="47"/>
      <c r="H57" s="47"/>
    </row>
    <row r="58" spans="1:11" ht="12.75">
      <c r="A58" s="10" t="s">
        <v>8</v>
      </c>
      <c r="B58" s="9" t="s">
        <v>341</v>
      </c>
      <c r="C58" s="9" t="s">
        <v>342</v>
      </c>
      <c r="D58" s="9" t="s">
        <v>343</v>
      </c>
      <c r="E58" s="9" t="str">
        <f>"0,5955"</f>
        <v>0,5955</v>
      </c>
      <c r="F58" s="9" t="s">
        <v>344</v>
      </c>
      <c r="G58" s="10" t="s">
        <v>15</v>
      </c>
      <c r="H58" s="28">
        <v>23</v>
      </c>
      <c r="I58" s="22" t="str">
        <f>"2185,0"</f>
        <v>2185,0</v>
      </c>
      <c r="J58" s="10" t="str">
        <f>"1301,1675"</f>
        <v>1301,1675</v>
      </c>
      <c r="K58" s="9" t="s">
        <v>46</v>
      </c>
    </row>
    <row r="59" spans="1:11" ht="12.75">
      <c r="A59" s="12" t="s">
        <v>8</v>
      </c>
      <c r="B59" s="11" t="s">
        <v>345</v>
      </c>
      <c r="C59" s="11" t="s">
        <v>346</v>
      </c>
      <c r="D59" s="11" t="s">
        <v>347</v>
      </c>
      <c r="E59" s="11" t="str">
        <f>"0,6054"</f>
        <v>0,6054</v>
      </c>
      <c r="F59" s="11" t="s">
        <v>38</v>
      </c>
      <c r="G59" s="12" t="s">
        <v>24</v>
      </c>
      <c r="H59" s="29">
        <v>27</v>
      </c>
      <c r="I59" s="23" t="str">
        <f>"2497,5"</f>
        <v>2497,5</v>
      </c>
      <c r="J59" s="12" t="str">
        <f>"1511,8617"</f>
        <v>1511,8617</v>
      </c>
      <c r="K59" s="11" t="s">
        <v>348</v>
      </c>
    </row>
    <row r="60" spans="1:11" ht="12.75">
      <c r="A60" s="12" t="s">
        <v>13</v>
      </c>
      <c r="B60" s="11" t="s">
        <v>349</v>
      </c>
      <c r="C60" s="11" t="s">
        <v>262</v>
      </c>
      <c r="D60" s="11" t="s">
        <v>216</v>
      </c>
      <c r="E60" s="11" t="str">
        <f>"0,6050"</f>
        <v>0,6050</v>
      </c>
      <c r="F60" s="11" t="s">
        <v>14</v>
      </c>
      <c r="G60" s="12" t="s">
        <v>24</v>
      </c>
      <c r="H60" s="29">
        <v>26</v>
      </c>
      <c r="I60" s="23" t="str">
        <f>"2405,0"</f>
        <v>2405,0</v>
      </c>
      <c r="J60" s="12" t="str">
        <f>"1455,0250"</f>
        <v>1455,0250</v>
      </c>
      <c r="K60" s="11" t="s">
        <v>46</v>
      </c>
    </row>
    <row r="61" spans="1:11" ht="12.75">
      <c r="A61" s="12" t="s">
        <v>21</v>
      </c>
      <c r="B61" s="11" t="s">
        <v>155</v>
      </c>
      <c r="C61" s="11" t="s">
        <v>156</v>
      </c>
      <c r="D61" s="11" t="s">
        <v>212</v>
      </c>
      <c r="E61" s="11" t="str">
        <f>"0,5818"</f>
        <v>0,5818</v>
      </c>
      <c r="F61" s="11" t="s">
        <v>81</v>
      </c>
      <c r="G61" s="12" t="s">
        <v>16</v>
      </c>
      <c r="H61" s="29">
        <v>20</v>
      </c>
      <c r="I61" s="23" t="str">
        <f>"2000,0"</f>
        <v>2000,0</v>
      </c>
      <c r="J61" s="12" t="str">
        <f>"1163,6000"</f>
        <v>1163,6000</v>
      </c>
      <c r="K61" s="11" t="s">
        <v>82</v>
      </c>
    </row>
    <row r="62" spans="1:11" ht="12.75">
      <c r="A62" s="12" t="s">
        <v>8</v>
      </c>
      <c r="B62" s="11" t="s">
        <v>345</v>
      </c>
      <c r="C62" s="11" t="s">
        <v>350</v>
      </c>
      <c r="D62" s="11" t="s">
        <v>347</v>
      </c>
      <c r="E62" s="11" t="str">
        <f>"0,6054"</f>
        <v>0,6054</v>
      </c>
      <c r="F62" s="11" t="s">
        <v>38</v>
      </c>
      <c r="G62" s="12" t="s">
        <v>24</v>
      </c>
      <c r="H62" s="29">
        <v>27</v>
      </c>
      <c r="I62" s="23" t="str">
        <f>"2497,5"</f>
        <v>2497,5</v>
      </c>
      <c r="J62" s="12" t="str">
        <f>"1511,8617"</f>
        <v>1511,8617</v>
      </c>
      <c r="K62" s="11" t="s">
        <v>348</v>
      </c>
    </row>
    <row r="63" spans="1:11" ht="12.75">
      <c r="A63" s="12" t="s">
        <v>13</v>
      </c>
      <c r="B63" s="11" t="s">
        <v>263</v>
      </c>
      <c r="C63" s="11" t="s">
        <v>264</v>
      </c>
      <c r="D63" s="11" t="s">
        <v>265</v>
      </c>
      <c r="E63" s="11" t="str">
        <f>"0,6075"</f>
        <v>0,6075</v>
      </c>
      <c r="F63" s="11" t="s">
        <v>266</v>
      </c>
      <c r="G63" s="12" t="s">
        <v>24</v>
      </c>
      <c r="H63" s="29">
        <v>19</v>
      </c>
      <c r="I63" s="23" t="str">
        <f>"1757,5"</f>
        <v>1757,5</v>
      </c>
      <c r="J63" s="12" t="str">
        <f>"1126,4037"</f>
        <v>1126,4037</v>
      </c>
      <c r="K63" s="11" t="s">
        <v>46</v>
      </c>
    </row>
    <row r="64" spans="1:11" ht="12.75">
      <c r="A64" s="12" t="s">
        <v>8</v>
      </c>
      <c r="B64" s="11" t="s">
        <v>351</v>
      </c>
      <c r="C64" s="11" t="s">
        <v>352</v>
      </c>
      <c r="D64" s="11" t="s">
        <v>159</v>
      </c>
      <c r="E64" s="11" t="str">
        <f>"0,5880"</f>
        <v>0,5880</v>
      </c>
      <c r="F64" s="11" t="s">
        <v>353</v>
      </c>
      <c r="G64" s="12" t="s">
        <v>44</v>
      </c>
      <c r="H64" s="29">
        <v>27</v>
      </c>
      <c r="I64" s="23" t="str">
        <f>"2632,5"</f>
        <v>2632,5</v>
      </c>
      <c r="J64" s="12" t="str">
        <f>"1863,6836"</f>
        <v>1863,6836</v>
      </c>
      <c r="K64" s="11" t="s">
        <v>46</v>
      </c>
    </row>
    <row r="65" spans="1:11" ht="12.75">
      <c r="A65" s="14" t="s">
        <v>13</v>
      </c>
      <c r="B65" s="13" t="s">
        <v>217</v>
      </c>
      <c r="C65" s="13" t="s">
        <v>218</v>
      </c>
      <c r="D65" s="13" t="s">
        <v>219</v>
      </c>
      <c r="E65" s="13" t="str">
        <f>"0,5964"</f>
        <v>0,5964</v>
      </c>
      <c r="F65" s="13" t="s">
        <v>14</v>
      </c>
      <c r="G65" s="14" t="s">
        <v>15</v>
      </c>
      <c r="H65" s="30">
        <v>24</v>
      </c>
      <c r="I65" s="24" t="str">
        <f>"2280,0"</f>
        <v>2280,0</v>
      </c>
      <c r="J65" s="14" t="str">
        <f>"1755,6386"</f>
        <v>1755,6386</v>
      </c>
      <c r="K65" s="13" t="s">
        <v>46</v>
      </c>
    </row>
    <row r="66" ht="12.75">
      <c r="B66" s="5" t="s">
        <v>29</v>
      </c>
    </row>
    <row r="67" spans="1:8" ht="15">
      <c r="A67" s="47" t="s">
        <v>97</v>
      </c>
      <c r="B67" s="47"/>
      <c r="C67" s="47"/>
      <c r="D67" s="47"/>
      <c r="E67" s="47"/>
      <c r="F67" s="47"/>
      <c r="G67" s="47"/>
      <c r="H67" s="47"/>
    </row>
    <row r="68" spans="1:11" ht="12.75">
      <c r="A68" s="10" t="s">
        <v>8</v>
      </c>
      <c r="B68" s="9" t="s">
        <v>354</v>
      </c>
      <c r="C68" s="9" t="s">
        <v>355</v>
      </c>
      <c r="D68" s="9" t="s">
        <v>356</v>
      </c>
      <c r="E68" s="9" t="str">
        <f>"0,5714"</f>
        <v>0,5714</v>
      </c>
      <c r="F68" s="9" t="s">
        <v>65</v>
      </c>
      <c r="G68" s="10" t="s">
        <v>28</v>
      </c>
      <c r="H68" s="28">
        <v>29</v>
      </c>
      <c r="I68" s="22" t="str">
        <f>"3045,0"</f>
        <v>3045,0</v>
      </c>
      <c r="J68" s="10" t="str">
        <f>"1739,9130"</f>
        <v>1739,9130</v>
      </c>
      <c r="K68" s="9" t="s">
        <v>357</v>
      </c>
    </row>
    <row r="69" spans="1:11" ht="12.75">
      <c r="A69" s="12" t="s">
        <v>13</v>
      </c>
      <c r="B69" s="11" t="s">
        <v>358</v>
      </c>
      <c r="C69" s="11" t="s">
        <v>359</v>
      </c>
      <c r="D69" s="11" t="s">
        <v>360</v>
      </c>
      <c r="E69" s="11" t="str">
        <f>"0,5802"</f>
        <v>0,5802</v>
      </c>
      <c r="F69" s="11" t="s">
        <v>361</v>
      </c>
      <c r="G69" s="12" t="s">
        <v>17</v>
      </c>
      <c r="H69" s="29">
        <v>26</v>
      </c>
      <c r="I69" s="23" t="str">
        <f>"2665,0"</f>
        <v>2665,0</v>
      </c>
      <c r="J69" s="12" t="str">
        <f>"1546,0998"</f>
        <v>1546,0998</v>
      </c>
      <c r="K69" s="11" t="s">
        <v>362</v>
      </c>
    </row>
    <row r="70" spans="1:11" ht="12.75">
      <c r="A70" s="14" t="s">
        <v>8</v>
      </c>
      <c r="B70" s="13" t="s">
        <v>363</v>
      </c>
      <c r="C70" s="13" t="s">
        <v>364</v>
      </c>
      <c r="D70" s="13" t="s">
        <v>133</v>
      </c>
      <c r="E70" s="13" t="str">
        <f>"0,5641"</f>
        <v>0,5641</v>
      </c>
      <c r="F70" s="13" t="s">
        <v>365</v>
      </c>
      <c r="G70" s="14" t="s">
        <v>39</v>
      </c>
      <c r="H70" s="30">
        <v>15</v>
      </c>
      <c r="I70" s="24" t="str">
        <f>"1650,0"</f>
        <v>1650,0</v>
      </c>
      <c r="J70" s="14" t="str">
        <f>"1296,4408"</f>
        <v>1296,4408</v>
      </c>
      <c r="K70" s="13" t="s">
        <v>366</v>
      </c>
    </row>
    <row r="71" ht="12.75">
      <c r="B71" s="5" t="s">
        <v>29</v>
      </c>
    </row>
    <row r="72" spans="1:8" ht="15">
      <c r="A72" s="47" t="s">
        <v>98</v>
      </c>
      <c r="B72" s="47"/>
      <c r="C72" s="47"/>
      <c r="D72" s="47"/>
      <c r="E72" s="47"/>
      <c r="F72" s="47"/>
      <c r="G72" s="47"/>
      <c r="H72" s="47"/>
    </row>
    <row r="73" spans="1:11" ht="12.75">
      <c r="A73" s="10" t="s">
        <v>8</v>
      </c>
      <c r="B73" s="9" t="s">
        <v>367</v>
      </c>
      <c r="C73" s="9" t="s">
        <v>368</v>
      </c>
      <c r="D73" s="9" t="s">
        <v>369</v>
      </c>
      <c r="E73" s="9" t="str">
        <f>"0,5612"</f>
        <v>0,5612</v>
      </c>
      <c r="F73" s="9" t="s">
        <v>127</v>
      </c>
      <c r="G73" s="10" t="s">
        <v>34</v>
      </c>
      <c r="H73" s="28">
        <v>17</v>
      </c>
      <c r="I73" s="22" t="str">
        <f>"1912,5"</f>
        <v>1912,5</v>
      </c>
      <c r="J73" s="10" t="str">
        <f>"1073,2950"</f>
        <v>1073,2950</v>
      </c>
      <c r="K73" s="9" t="s">
        <v>46</v>
      </c>
    </row>
    <row r="74" spans="1:11" ht="12.75">
      <c r="A74" s="12" t="s">
        <v>8</v>
      </c>
      <c r="B74" s="11" t="s">
        <v>222</v>
      </c>
      <c r="C74" s="11" t="s">
        <v>223</v>
      </c>
      <c r="D74" s="11" t="s">
        <v>224</v>
      </c>
      <c r="E74" s="11" t="str">
        <f>"0,5584"</f>
        <v>0,5584</v>
      </c>
      <c r="F74" s="11" t="s">
        <v>225</v>
      </c>
      <c r="G74" s="12" t="s">
        <v>35</v>
      </c>
      <c r="H74" s="29">
        <v>18</v>
      </c>
      <c r="I74" s="23" t="str">
        <f>"2070,0"</f>
        <v>2070,0</v>
      </c>
      <c r="J74" s="12" t="str">
        <f>"1219,4618"</f>
        <v>1219,4618</v>
      </c>
      <c r="K74" s="11" t="s">
        <v>46</v>
      </c>
    </row>
    <row r="75" spans="1:11" ht="12.75">
      <c r="A75" s="14" t="s">
        <v>8</v>
      </c>
      <c r="B75" s="13" t="s">
        <v>226</v>
      </c>
      <c r="C75" s="13" t="s">
        <v>370</v>
      </c>
      <c r="D75" s="13" t="s">
        <v>227</v>
      </c>
      <c r="E75" s="13" t="str">
        <f>"0,5604"</f>
        <v>0,5604</v>
      </c>
      <c r="F75" s="13" t="s">
        <v>127</v>
      </c>
      <c r="G75" s="14" t="s">
        <v>34</v>
      </c>
      <c r="H75" s="30">
        <v>14</v>
      </c>
      <c r="I75" s="24" t="str">
        <f>"1575,0"</f>
        <v>1575,0</v>
      </c>
      <c r="J75" s="14" t="str">
        <f>"1361,7766"</f>
        <v>1361,7766</v>
      </c>
      <c r="K75" s="13" t="s">
        <v>46</v>
      </c>
    </row>
    <row r="76" ht="12.75">
      <c r="B76" s="5" t="s">
        <v>29</v>
      </c>
    </row>
    <row r="77" spans="1:8" ht="15">
      <c r="A77" s="47" t="s">
        <v>99</v>
      </c>
      <c r="B77" s="47"/>
      <c r="C77" s="47"/>
      <c r="D77" s="47"/>
      <c r="E77" s="47"/>
      <c r="F77" s="47"/>
      <c r="G77" s="47"/>
      <c r="H77" s="47"/>
    </row>
    <row r="78" spans="1:11" ht="12.75">
      <c r="A78" s="8" t="s">
        <v>8</v>
      </c>
      <c r="B78" s="7" t="s">
        <v>371</v>
      </c>
      <c r="C78" s="7" t="s">
        <v>256</v>
      </c>
      <c r="D78" s="7" t="s">
        <v>372</v>
      </c>
      <c r="E78" s="7" t="str">
        <f>"0,5444"</f>
        <v>0,5444</v>
      </c>
      <c r="F78" s="7" t="s">
        <v>51</v>
      </c>
      <c r="G78" s="8" t="s">
        <v>52</v>
      </c>
      <c r="H78" s="26">
        <v>11</v>
      </c>
      <c r="I78" s="21" t="str">
        <f>"1402,5"</f>
        <v>1402,5</v>
      </c>
      <c r="J78" s="8" t="str">
        <f>"837,5364"</f>
        <v>837,5364</v>
      </c>
      <c r="K78" s="7" t="s">
        <v>46</v>
      </c>
    </row>
    <row r="79" ht="12.75">
      <c r="B79" s="5" t="s">
        <v>29</v>
      </c>
    </row>
    <row r="80" ht="12.75">
      <c r="B80" s="5" t="s">
        <v>29</v>
      </c>
    </row>
    <row r="81" ht="12.75">
      <c r="B81" s="5" t="s">
        <v>29</v>
      </c>
    </row>
    <row r="82" spans="2:6" ht="18">
      <c r="B82" s="15" t="s">
        <v>100</v>
      </c>
      <c r="C82" s="15"/>
      <c r="F82" s="3"/>
    </row>
    <row r="83" spans="2:6" ht="15">
      <c r="B83" s="16" t="s">
        <v>107</v>
      </c>
      <c r="C83" s="16"/>
      <c r="F83" s="3"/>
    </row>
    <row r="84" spans="2:6" ht="14.25">
      <c r="B84" s="17"/>
      <c r="C84" s="18" t="s">
        <v>101</v>
      </c>
      <c r="F84" s="3"/>
    </row>
    <row r="85" spans="2:6" ht="15">
      <c r="B85" s="19" t="s">
        <v>102</v>
      </c>
      <c r="C85" s="19" t="s">
        <v>103</v>
      </c>
      <c r="D85" s="19" t="s">
        <v>104</v>
      </c>
      <c r="E85" s="19" t="s">
        <v>274</v>
      </c>
      <c r="F85" s="19" t="s">
        <v>267</v>
      </c>
    </row>
    <row r="86" spans="2:6" ht="12.75">
      <c r="B86" s="5" t="s">
        <v>294</v>
      </c>
      <c r="C86" s="5" t="s">
        <v>101</v>
      </c>
      <c r="D86" s="6" t="s">
        <v>157</v>
      </c>
      <c r="E86" s="6" t="s">
        <v>373</v>
      </c>
      <c r="F86" s="6" t="s">
        <v>374</v>
      </c>
    </row>
    <row r="87" spans="2:6" ht="12.75">
      <c r="B87" s="5" t="s">
        <v>321</v>
      </c>
      <c r="C87" s="5" t="s">
        <v>101</v>
      </c>
      <c r="D87" s="6" t="s">
        <v>108</v>
      </c>
      <c r="E87" s="6" t="s">
        <v>375</v>
      </c>
      <c r="F87" s="6" t="s">
        <v>376</v>
      </c>
    </row>
    <row r="88" spans="2:6" ht="12.75">
      <c r="B88" s="5" t="s">
        <v>171</v>
      </c>
      <c r="C88" s="5" t="s">
        <v>101</v>
      </c>
      <c r="D88" s="6" t="s">
        <v>106</v>
      </c>
      <c r="E88" s="6" t="s">
        <v>377</v>
      </c>
      <c r="F88" s="6" t="s">
        <v>378</v>
      </c>
    </row>
    <row r="90" spans="2:3" ht="14.25">
      <c r="B90" s="17"/>
      <c r="C90" s="18" t="s">
        <v>111</v>
      </c>
    </row>
    <row r="91" spans="2:6" ht="15">
      <c r="B91" s="19" t="s">
        <v>102</v>
      </c>
      <c r="C91" s="19" t="s">
        <v>103</v>
      </c>
      <c r="D91" s="19" t="s">
        <v>104</v>
      </c>
      <c r="E91" s="19" t="s">
        <v>274</v>
      </c>
      <c r="F91" s="19" t="s">
        <v>267</v>
      </c>
    </row>
    <row r="92" spans="2:6" ht="12.75">
      <c r="B92" s="5" t="s">
        <v>321</v>
      </c>
      <c r="C92" s="5" t="s">
        <v>113</v>
      </c>
      <c r="D92" s="6" t="s">
        <v>108</v>
      </c>
      <c r="E92" s="6" t="s">
        <v>375</v>
      </c>
      <c r="F92" s="6" t="s">
        <v>379</v>
      </c>
    </row>
    <row r="93" spans="2:6" ht="12.75">
      <c r="B93" s="5" t="s">
        <v>185</v>
      </c>
      <c r="C93" s="5" t="s">
        <v>113</v>
      </c>
      <c r="D93" s="6" t="s">
        <v>109</v>
      </c>
      <c r="E93" s="6" t="s">
        <v>380</v>
      </c>
      <c r="F93" s="6" t="s">
        <v>381</v>
      </c>
    </row>
    <row r="94" spans="2:6" ht="12.75">
      <c r="B94" s="5" t="s">
        <v>283</v>
      </c>
      <c r="C94" s="5" t="s">
        <v>112</v>
      </c>
      <c r="D94" s="6" t="s">
        <v>105</v>
      </c>
      <c r="E94" s="6" t="s">
        <v>382</v>
      </c>
      <c r="F94" s="6" t="s">
        <v>383</v>
      </c>
    </row>
    <row r="95" ht="12.75">
      <c r="B95" s="5" t="s">
        <v>29</v>
      </c>
    </row>
  </sheetData>
  <sheetProtection/>
  <mergeCells count="23">
    <mergeCell ref="A41:H41"/>
    <mergeCell ref="A57:H57"/>
    <mergeCell ref="A67:H67"/>
    <mergeCell ref="A72:H72"/>
    <mergeCell ref="A77:H77"/>
    <mergeCell ref="A24:H24"/>
    <mergeCell ref="A30:H30"/>
    <mergeCell ref="G3:H3"/>
    <mergeCell ref="I3:I4"/>
    <mergeCell ref="J3:J4"/>
    <mergeCell ref="B3:B4"/>
    <mergeCell ref="A8:H8"/>
    <mergeCell ref="A11:H11"/>
    <mergeCell ref="A14:H14"/>
    <mergeCell ref="A19:H19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K87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27.00390625" style="5" bestFit="1" customWidth="1"/>
    <col min="3" max="3" width="28.375" style="5" bestFit="1" customWidth="1"/>
    <col min="4" max="4" width="21.375" style="5" bestFit="1" customWidth="1"/>
    <col min="5" max="5" width="10.375" style="5" bestFit="1" customWidth="1"/>
    <col min="6" max="6" width="23.125" style="5" bestFit="1" customWidth="1"/>
    <col min="7" max="7" width="10.75390625" style="6" customWidth="1"/>
    <col min="8" max="8" width="10.375" style="27" customWidth="1"/>
    <col min="9" max="9" width="7.875" style="6" bestFit="1" customWidth="1"/>
    <col min="10" max="10" width="9.375" style="6" bestFit="1" customWidth="1"/>
    <col min="11" max="11" width="23.875" style="5" customWidth="1"/>
    <col min="12" max="16384" width="9.125" style="3" customWidth="1"/>
  </cols>
  <sheetData>
    <row r="1" spans="1:11" s="2" customFormat="1" ht="28.5" customHeight="1">
      <c r="A1" s="36" t="s">
        <v>384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50" t="s">
        <v>1</v>
      </c>
      <c r="C3" s="46" t="s">
        <v>2</v>
      </c>
      <c r="D3" s="46" t="s">
        <v>3</v>
      </c>
      <c r="E3" s="31" t="s">
        <v>261</v>
      </c>
      <c r="F3" s="31" t="s">
        <v>4</v>
      </c>
      <c r="G3" s="31" t="s">
        <v>273</v>
      </c>
      <c r="H3" s="31"/>
      <c r="I3" s="31" t="s">
        <v>274</v>
      </c>
      <c r="J3" s="31" t="s">
        <v>5</v>
      </c>
      <c r="K3" s="33" t="s">
        <v>6</v>
      </c>
    </row>
    <row r="4" spans="1:11" s="1" customFormat="1" ht="21" customHeight="1" thickBot="1">
      <c r="A4" s="45"/>
      <c r="B4" s="51"/>
      <c r="C4" s="32"/>
      <c r="D4" s="32"/>
      <c r="E4" s="32"/>
      <c r="F4" s="32"/>
      <c r="G4" s="4" t="s">
        <v>275</v>
      </c>
      <c r="H4" s="25" t="s">
        <v>276</v>
      </c>
      <c r="I4" s="32"/>
      <c r="J4" s="32"/>
      <c r="K4" s="34"/>
    </row>
    <row r="5" spans="1:8" ht="15">
      <c r="A5" s="35" t="s">
        <v>163</v>
      </c>
      <c r="B5" s="35"/>
      <c r="C5" s="35"/>
      <c r="D5" s="35"/>
      <c r="E5" s="35"/>
      <c r="F5" s="35"/>
      <c r="G5" s="35"/>
      <c r="H5" s="35"/>
    </row>
    <row r="6" spans="1:11" ht="12.75">
      <c r="A6" s="8" t="s">
        <v>8</v>
      </c>
      <c r="B6" s="7" t="s">
        <v>385</v>
      </c>
      <c r="C6" s="7" t="s">
        <v>386</v>
      </c>
      <c r="D6" s="7" t="s">
        <v>387</v>
      </c>
      <c r="E6" s="7" t="str">
        <f>"1,3437"</f>
        <v>1,3437</v>
      </c>
      <c r="F6" s="7" t="s">
        <v>14</v>
      </c>
      <c r="G6" s="8" t="s">
        <v>59</v>
      </c>
      <c r="H6" s="26">
        <v>22</v>
      </c>
      <c r="I6" s="8" t="str">
        <f>"495,0"</f>
        <v>495,0</v>
      </c>
      <c r="J6" s="8" t="str">
        <f>"665,1315"</f>
        <v>665,1315</v>
      </c>
      <c r="K6" s="7" t="s">
        <v>388</v>
      </c>
    </row>
    <row r="7" ht="12.75">
      <c r="B7" s="5" t="s">
        <v>29</v>
      </c>
    </row>
    <row r="8" spans="1:8" ht="15">
      <c r="A8" s="47" t="s">
        <v>7</v>
      </c>
      <c r="B8" s="47"/>
      <c r="C8" s="47"/>
      <c r="D8" s="47"/>
      <c r="E8" s="47"/>
      <c r="F8" s="47"/>
      <c r="G8" s="47"/>
      <c r="H8" s="47"/>
    </row>
    <row r="9" spans="1:11" ht="12.75">
      <c r="A9" s="8" t="s">
        <v>8</v>
      </c>
      <c r="B9" s="7" t="s">
        <v>228</v>
      </c>
      <c r="C9" s="7" t="s">
        <v>229</v>
      </c>
      <c r="D9" s="7" t="s">
        <v>230</v>
      </c>
      <c r="E9" s="7" t="str">
        <f>"1,2019"</f>
        <v>1,2019</v>
      </c>
      <c r="F9" s="7" t="s">
        <v>168</v>
      </c>
      <c r="G9" s="8" t="s">
        <v>25</v>
      </c>
      <c r="H9" s="26">
        <v>18</v>
      </c>
      <c r="I9" s="8" t="str">
        <f>"855,0"</f>
        <v>855,0</v>
      </c>
      <c r="J9" s="8" t="str">
        <f>"1027,6245"</f>
        <v>1027,6245</v>
      </c>
      <c r="K9" s="7" t="s">
        <v>231</v>
      </c>
    </row>
    <row r="10" ht="12.75">
      <c r="B10" s="5" t="s">
        <v>29</v>
      </c>
    </row>
    <row r="11" spans="1:8" ht="15">
      <c r="A11" s="47" t="s">
        <v>30</v>
      </c>
      <c r="B11" s="47"/>
      <c r="C11" s="47"/>
      <c r="D11" s="47"/>
      <c r="E11" s="47"/>
      <c r="F11" s="47"/>
      <c r="G11" s="47"/>
      <c r="H11" s="47"/>
    </row>
    <row r="12" spans="1:11" ht="12.75">
      <c r="A12" s="8" t="s">
        <v>8</v>
      </c>
      <c r="B12" s="7" t="s">
        <v>389</v>
      </c>
      <c r="C12" s="7" t="s">
        <v>390</v>
      </c>
      <c r="D12" s="7" t="s">
        <v>391</v>
      </c>
      <c r="E12" s="7" t="str">
        <f>"1,1477"</f>
        <v>1,1477</v>
      </c>
      <c r="F12" s="7" t="s">
        <v>14</v>
      </c>
      <c r="G12" s="8" t="s">
        <v>26</v>
      </c>
      <c r="H12" s="26">
        <v>19</v>
      </c>
      <c r="I12" s="8" t="str">
        <f>"950,0"</f>
        <v>950,0</v>
      </c>
      <c r="J12" s="8" t="str">
        <f>"1213,5205"</f>
        <v>1213,5205</v>
      </c>
      <c r="K12" s="7" t="s">
        <v>392</v>
      </c>
    </row>
    <row r="13" ht="12.75">
      <c r="B13" s="5" t="s">
        <v>29</v>
      </c>
    </row>
    <row r="14" spans="1:8" ht="15">
      <c r="A14" s="47" t="s">
        <v>57</v>
      </c>
      <c r="B14" s="47"/>
      <c r="C14" s="47"/>
      <c r="D14" s="47"/>
      <c r="E14" s="47"/>
      <c r="F14" s="47"/>
      <c r="G14" s="47"/>
      <c r="H14" s="47"/>
    </row>
    <row r="15" spans="1:11" ht="12.75">
      <c r="A15" s="8" t="s">
        <v>8</v>
      </c>
      <c r="B15" s="7" t="s">
        <v>158</v>
      </c>
      <c r="C15" s="7" t="s">
        <v>135</v>
      </c>
      <c r="D15" s="7" t="s">
        <v>78</v>
      </c>
      <c r="E15" s="7" t="str">
        <f>"1,0149"</f>
        <v>1,0149</v>
      </c>
      <c r="F15" s="7" t="s">
        <v>136</v>
      </c>
      <c r="G15" s="8" t="s">
        <v>40</v>
      </c>
      <c r="H15" s="26">
        <v>19</v>
      </c>
      <c r="I15" s="8" t="str">
        <f>"1140,0"</f>
        <v>1140,0</v>
      </c>
      <c r="J15" s="8" t="str">
        <f>"1156,9860"</f>
        <v>1156,9860</v>
      </c>
      <c r="K15" s="7" t="s">
        <v>46</v>
      </c>
    </row>
    <row r="16" ht="12.75">
      <c r="B16" s="5" t="s">
        <v>29</v>
      </c>
    </row>
    <row r="17" spans="1:8" ht="15">
      <c r="A17" s="47" t="s">
        <v>72</v>
      </c>
      <c r="B17" s="47"/>
      <c r="C17" s="47"/>
      <c r="D17" s="47"/>
      <c r="E17" s="47"/>
      <c r="F17" s="47"/>
      <c r="G17" s="47"/>
      <c r="H17" s="47"/>
    </row>
    <row r="18" spans="1:11" ht="12.75">
      <c r="A18" s="8" t="s">
        <v>8</v>
      </c>
      <c r="B18" s="7" t="s">
        <v>393</v>
      </c>
      <c r="C18" s="7" t="s">
        <v>394</v>
      </c>
      <c r="D18" s="7" t="s">
        <v>79</v>
      </c>
      <c r="E18" s="7" t="str">
        <f>"0,8368"</f>
        <v>0,8368</v>
      </c>
      <c r="F18" s="7" t="s">
        <v>221</v>
      </c>
      <c r="G18" s="8" t="s">
        <v>56</v>
      </c>
      <c r="H18" s="26">
        <v>10</v>
      </c>
      <c r="I18" s="8" t="str">
        <f>"750,0"</f>
        <v>750,0</v>
      </c>
      <c r="J18" s="8" t="str">
        <f>"627,6375"</f>
        <v>627,6375</v>
      </c>
      <c r="K18" s="7" t="s">
        <v>395</v>
      </c>
    </row>
    <row r="19" ht="12.75">
      <c r="B19" s="5" t="s">
        <v>29</v>
      </c>
    </row>
    <row r="20" spans="1:8" ht="15">
      <c r="A20" s="47" t="s">
        <v>47</v>
      </c>
      <c r="B20" s="47"/>
      <c r="C20" s="47"/>
      <c r="D20" s="47"/>
      <c r="E20" s="47"/>
      <c r="F20" s="47"/>
      <c r="G20" s="47"/>
      <c r="H20" s="47"/>
    </row>
    <row r="21" spans="1:11" ht="12.75">
      <c r="A21" s="10" t="s">
        <v>8</v>
      </c>
      <c r="B21" s="9" t="s">
        <v>396</v>
      </c>
      <c r="C21" s="9" t="s">
        <v>397</v>
      </c>
      <c r="D21" s="9" t="s">
        <v>55</v>
      </c>
      <c r="E21" s="9" t="str">
        <f>"0,9563"</f>
        <v>0,9563</v>
      </c>
      <c r="F21" s="9" t="s">
        <v>221</v>
      </c>
      <c r="G21" s="10" t="s">
        <v>27</v>
      </c>
      <c r="H21" s="28">
        <v>65</v>
      </c>
      <c r="I21" s="10" t="str">
        <f>"3412,5"</f>
        <v>3412,5</v>
      </c>
      <c r="J21" s="10" t="str">
        <f>"3263,2032"</f>
        <v>3263,2032</v>
      </c>
      <c r="K21" s="9" t="s">
        <v>395</v>
      </c>
    </row>
    <row r="22" spans="1:11" ht="12.75">
      <c r="A22" s="14" t="s">
        <v>8</v>
      </c>
      <c r="B22" s="13" t="s">
        <v>396</v>
      </c>
      <c r="C22" s="13" t="s">
        <v>398</v>
      </c>
      <c r="D22" s="13" t="s">
        <v>55</v>
      </c>
      <c r="E22" s="13" t="str">
        <f>"0,9563"</f>
        <v>0,9563</v>
      </c>
      <c r="F22" s="13" t="s">
        <v>221</v>
      </c>
      <c r="G22" s="14" t="s">
        <v>27</v>
      </c>
      <c r="H22" s="30">
        <v>65</v>
      </c>
      <c r="I22" s="14" t="str">
        <f>"3412,5"</f>
        <v>3412,5</v>
      </c>
      <c r="J22" s="14" t="str">
        <f>"3263,2032"</f>
        <v>3263,2032</v>
      </c>
      <c r="K22" s="13" t="s">
        <v>395</v>
      </c>
    </row>
    <row r="23" ht="12.75">
      <c r="B23" s="5" t="s">
        <v>29</v>
      </c>
    </row>
    <row r="24" spans="1:8" ht="15">
      <c r="A24" s="47" t="s">
        <v>57</v>
      </c>
      <c r="B24" s="47"/>
      <c r="C24" s="47"/>
      <c r="D24" s="47"/>
      <c r="E24" s="47"/>
      <c r="F24" s="47"/>
      <c r="G24" s="47"/>
      <c r="H24" s="47"/>
    </row>
    <row r="25" spans="1:11" ht="12.75">
      <c r="A25" s="8" t="s">
        <v>8</v>
      </c>
      <c r="B25" s="7" t="s">
        <v>399</v>
      </c>
      <c r="C25" s="7" t="s">
        <v>400</v>
      </c>
      <c r="D25" s="7" t="s">
        <v>401</v>
      </c>
      <c r="E25" s="7" t="str">
        <f>"0,8687"</f>
        <v>0,8687</v>
      </c>
      <c r="F25" s="7" t="s">
        <v>221</v>
      </c>
      <c r="G25" s="8" t="s">
        <v>48</v>
      </c>
      <c r="H25" s="26">
        <v>38</v>
      </c>
      <c r="I25" s="8" t="str">
        <f>"2185,0"</f>
        <v>2185,0</v>
      </c>
      <c r="J25" s="8" t="str">
        <f>"1898,1096"</f>
        <v>1898,1096</v>
      </c>
      <c r="K25" s="7" t="s">
        <v>395</v>
      </c>
    </row>
    <row r="26" ht="12.75">
      <c r="B26" s="5" t="s">
        <v>29</v>
      </c>
    </row>
    <row r="27" spans="1:8" ht="15">
      <c r="A27" s="47" t="s">
        <v>64</v>
      </c>
      <c r="B27" s="47"/>
      <c r="C27" s="47"/>
      <c r="D27" s="47"/>
      <c r="E27" s="47"/>
      <c r="F27" s="47"/>
      <c r="G27" s="47"/>
      <c r="H27" s="47"/>
    </row>
    <row r="28" spans="1:11" ht="12.75">
      <c r="A28" s="10" t="s">
        <v>8</v>
      </c>
      <c r="B28" s="9" t="s">
        <v>402</v>
      </c>
      <c r="C28" s="9" t="s">
        <v>137</v>
      </c>
      <c r="D28" s="9" t="s">
        <v>70</v>
      </c>
      <c r="E28" s="9" t="str">
        <f>"0,7561"</f>
        <v>0,7561</v>
      </c>
      <c r="F28" s="9" t="s">
        <v>138</v>
      </c>
      <c r="G28" s="10" t="s">
        <v>12</v>
      </c>
      <c r="H28" s="28">
        <v>31</v>
      </c>
      <c r="I28" s="10" t="str">
        <f>"2092,5"</f>
        <v>2092,5</v>
      </c>
      <c r="J28" s="10" t="str">
        <f>"1582,1392"</f>
        <v>1582,1392</v>
      </c>
      <c r="K28" s="9" t="s">
        <v>403</v>
      </c>
    </row>
    <row r="29" spans="1:11" ht="12.75">
      <c r="A29" s="14" t="s">
        <v>13</v>
      </c>
      <c r="B29" s="13" t="s">
        <v>139</v>
      </c>
      <c r="C29" s="13" t="s">
        <v>140</v>
      </c>
      <c r="D29" s="13" t="s">
        <v>141</v>
      </c>
      <c r="E29" s="13" t="str">
        <f>"0,7484"</f>
        <v>0,7484</v>
      </c>
      <c r="F29" s="13" t="s">
        <v>58</v>
      </c>
      <c r="G29" s="14" t="s">
        <v>12</v>
      </c>
      <c r="H29" s="30">
        <v>26</v>
      </c>
      <c r="I29" s="14" t="str">
        <f>"1755,0"</f>
        <v>1755,0</v>
      </c>
      <c r="J29" s="14" t="str">
        <f>"1313,4420"</f>
        <v>1313,4420</v>
      </c>
      <c r="K29" s="13" t="s">
        <v>46</v>
      </c>
    </row>
    <row r="30" ht="12.75">
      <c r="B30" s="5" t="s">
        <v>29</v>
      </c>
    </row>
    <row r="31" spans="1:8" ht="15">
      <c r="A31" s="47" t="s">
        <v>72</v>
      </c>
      <c r="B31" s="47"/>
      <c r="C31" s="47"/>
      <c r="D31" s="47"/>
      <c r="E31" s="47"/>
      <c r="F31" s="47"/>
      <c r="G31" s="47"/>
      <c r="H31" s="47"/>
    </row>
    <row r="32" spans="1:11" ht="12.75">
      <c r="A32" s="10" t="s">
        <v>8</v>
      </c>
      <c r="B32" s="9" t="s">
        <v>404</v>
      </c>
      <c r="C32" s="9" t="s">
        <v>405</v>
      </c>
      <c r="D32" s="9" t="s">
        <v>73</v>
      </c>
      <c r="E32" s="9" t="str">
        <f>"0,7271"</f>
        <v>0,7271</v>
      </c>
      <c r="F32" s="9" t="s">
        <v>221</v>
      </c>
      <c r="G32" s="10" t="s">
        <v>49</v>
      </c>
      <c r="H32" s="28">
        <v>150</v>
      </c>
      <c r="I32" s="10" t="str">
        <f>"10500,0"</f>
        <v>10500,0</v>
      </c>
      <c r="J32" s="10" t="str">
        <f>"7634,5502"</f>
        <v>7634,5502</v>
      </c>
      <c r="K32" s="9" t="s">
        <v>395</v>
      </c>
    </row>
    <row r="33" spans="1:11" ht="12.75">
      <c r="A33" s="12" t="s">
        <v>13</v>
      </c>
      <c r="B33" s="11" t="s">
        <v>406</v>
      </c>
      <c r="C33" s="11" t="s">
        <v>407</v>
      </c>
      <c r="D33" s="11" t="s">
        <v>176</v>
      </c>
      <c r="E33" s="11" t="str">
        <f>"0,7079"</f>
        <v>0,7079</v>
      </c>
      <c r="F33" s="11" t="s">
        <v>211</v>
      </c>
      <c r="G33" s="12" t="s">
        <v>36</v>
      </c>
      <c r="H33" s="29">
        <v>32</v>
      </c>
      <c r="I33" s="12" t="str">
        <f>"2320,0"</f>
        <v>2320,0</v>
      </c>
      <c r="J33" s="12" t="str">
        <f>"1642,3280"</f>
        <v>1642,3280</v>
      </c>
      <c r="K33" s="11" t="s">
        <v>395</v>
      </c>
    </row>
    <row r="34" spans="1:11" ht="12.75">
      <c r="A34" s="14" t="s">
        <v>8</v>
      </c>
      <c r="B34" s="13" t="s">
        <v>404</v>
      </c>
      <c r="C34" s="13" t="s">
        <v>408</v>
      </c>
      <c r="D34" s="13" t="s">
        <v>73</v>
      </c>
      <c r="E34" s="13" t="str">
        <f>"0,7271"</f>
        <v>0,7271</v>
      </c>
      <c r="F34" s="13" t="s">
        <v>221</v>
      </c>
      <c r="G34" s="14" t="s">
        <v>49</v>
      </c>
      <c r="H34" s="30">
        <v>150</v>
      </c>
      <c r="I34" s="14" t="str">
        <f>"10500,0"</f>
        <v>10500,0</v>
      </c>
      <c r="J34" s="14" t="str">
        <f>"8375,1015"</f>
        <v>8375,1015</v>
      </c>
      <c r="K34" s="13" t="s">
        <v>395</v>
      </c>
    </row>
    <row r="35" ht="12.75">
      <c r="B35" s="5" t="s">
        <v>29</v>
      </c>
    </row>
    <row r="36" spans="1:8" ht="15">
      <c r="A36" s="47" t="s">
        <v>75</v>
      </c>
      <c r="B36" s="47"/>
      <c r="C36" s="47"/>
      <c r="D36" s="47"/>
      <c r="E36" s="47"/>
      <c r="F36" s="47"/>
      <c r="G36" s="47"/>
      <c r="H36" s="47"/>
    </row>
    <row r="37" spans="1:11" ht="12.75">
      <c r="A37" s="10" t="s">
        <v>8</v>
      </c>
      <c r="B37" s="9" t="s">
        <v>268</v>
      </c>
      <c r="C37" s="9" t="s">
        <v>269</v>
      </c>
      <c r="D37" s="9" t="s">
        <v>233</v>
      </c>
      <c r="E37" s="9" t="str">
        <f>"0,6600"</f>
        <v>0,6600</v>
      </c>
      <c r="F37" s="9" t="s">
        <v>270</v>
      </c>
      <c r="G37" s="10" t="s">
        <v>32</v>
      </c>
      <c r="H37" s="28">
        <v>25</v>
      </c>
      <c r="I37" s="10" t="str">
        <f>"2000,0"</f>
        <v>2000,0</v>
      </c>
      <c r="J37" s="10" t="str">
        <f>"1320,0999"</f>
        <v>1320,0999</v>
      </c>
      <c r="K37" s="9" t="s">
        <v>271</v>
      </c>
    </row>
    <row r="38" spans="1:11" ht="12.75">
      <c r="A38" s="12" t="s">
        <v>13</v>
      </c>
      <c r="B38" s="11" t="s">
        <v>257</v>
      </c>
      <c r="C38" s="11" t="s">
        <v>258</v>
      </c>
      <c r="D38" s="11" t="s">
        <v>118</v>
      </c>
      <c r="E38" s="11" t="str">
        <f>"0,6477"</f>
        <v>0,6477</v>
      </c>
      <c r="F38" s="11" t="s">
        <v>58</v>
      </c>
      <c r="G38" s="12" t="s">
        <v>63</v>
      </c>
      <c r="H38" s="29">
        <v>12</v>
      </c>
      <c r="I38" s="12" t="str">
        <f>"990,0"</f>
        <v>990,0</v>
      </c>
      <c r="J38" s="12" t="str">
        <f>"641,1735"</f>
        <v>641,1735</v>
      </c>
      <c r="K38" s="11" t="s">
        <v>46</v>
      </c>
    </row>
    <row r="39" spans="1:11" ht="12.75">
      <c r="A39" s="14" t="s">
        <v>8</v>
      </c>
      <c r="B39" s="13" t="s">
        <v>191</v>
      </c>
      <c r="C39" s="13" t="s">
        <v>192</v>
      </c>
      <c r="D39" s="13" t="s">
        <v>193</v>
      </c>
      <c r="E39" s="13" t="str">
        <f>"0,6819"</f>
        <v>0,6819</v>
      </c>
      <c r="F39" s="13" t="s">
        <v>194</v>
      </c>
      <c r="G39" s="14" t="s">
        <v>37</v>
      </c>
      <c r="H39" s="30">
        <v>33</v>
      </c>
      <c r="I39" s="14" t="str">
        <f>"2557,5"</f>
        <v>2557,5</v>
      </c>
      <c r="J39" s="14" t="str">
        <f>"2251,4515"</f>
        <v>2251,4515</v>
      </c>
      <c r="K39" s="13" t="s">
        <v>195</v>
      </c>
    </row>
    <row r="40" ht="12.75">
      <c r="B40" s="5" t="s">
        <v>29</v>
      </c>
    </row>
    <row r="41" spans="1:8" ht="15">
      <c r="A41" s="47" t="s">
        <v>76</v>
      </c>
      <c r="B41" s="47"/>
      <c r="C41" s="47"/>
      <c r="D41" s="47"/>
      <c r="E41" s="47"/>
      <c r="F41" s="47"/>
      <c r="G41" s="47"/>
      <c r="H41" s="47"/>
    </row>
    <row r="42" spans="1:11" ht="12.75">
      <c r="A42" s="10" t="s">
        <v>8</v>
      </c>
      <c r="B42" s="9" t="s">
        <v>409</v>
      </c>
      <c r="C42" s="9" t="s">
        <v>410</v>
      </c>
      <c r="D42" s="9" t="s">
        <v>121</v>
      </c>
      <c r="E42" s="9" t="str">
        <f>"0,6137"</f>
        <v>0,6137</v>
      </c>
      <c r="F42" s="9" t="s">
        <v>130</v>
      </c>
      <c r="G42" s="10" t="s">
        <v>23</v>
      </c>
      <c r="H42" s="28">
        <v>115</v>
      </c>
      <c r="I42" s="10" t="str">
        <f>"10350,0"</f>
        <v>10350,0</v>
      </c>
      <c r="J42" s="10" t="str">
        <f>"6352,3123"</f>
        <v>6352,3123</v>
      </c>
      <c r="K42" s="9" t="s">
        <v>411</v>
      </c>
    </row>
    <row r="43" spans="1:11" ht="12.75">
      <c r="A43" s="12" t="s">
        <v>13</v>
      </c>
      <c r="B43" s="11" t="s">
        <v>412</v>
      </c>
      <c r="C43" s="11" t="s">
        <v>413</v>
      </c>
      <c r="D43" s="11" t="s">
        <v>144</v>
      </c>
      <c r="E43" s="11" t="str">
        <f>"0,6345"</f>
        <v>0,6345</v>
      </c>
      <c r="F43" s="11" t="s">
        <v>221</v>
      </c>
      <c r="G43" s="12" t="s">
        <v>22</v>
      </c>
      <c r="H43" s="29">
        <v>67</v>
      </c>
      <c r="I43" s="12" t="str">
        <f>"5695,0"</f>
        <v>5695,0</v>
      </c>
      <c r="J43" s="12" t="str">
        <f>"3613,1929"</f>
        <v>3613,1929</v>
      </c>
      <c r="K43" s="11" t="s">
        <v>46</v>
      </c>
    </row>
    <row r="44" spans="1:11" ht="12.75">
      <c r="A44" s="12" t="s">
        <v>21</v>
      </c>
      <c r="B44" s="11" t="s">
        <v>414</v>
      </c>
      <c r="C44" s="11" t="s">
        <v>415</v>
      </c>
      <c r="D44" s="11" t="s">
        <v>88</v>
      </c>
      <c r="E44" s="11" t="str">
        <f>"0,6340"</f>
        <v>0,6340</v>
      </c>
      <c r="F44" s="11" t="s">
        <v>416</v>
      </c>
      <c r="G44" s="12" t="s">
        <v>22</v>
      </c>
      <c r="H44" s="29">
        <v>36</v>
      </c>
      <c r="I44" s="12" t="str">
        <f>"3060,0"</f>
        <v>3060,0</v>
      </c>
      <c r="J44" s="12" t="str">
        <f>"1940,0400"</f>
        <v>1940,0400</v>
      </c>
      <c r="K44" s="11" t="s">
        <v>46</v>
      </c>
    </row>
    <row r="45" spans="1:11" ht="12.75">
      <c r="A45" s="12" t="s">
        <v>43</v>
      </c>
      <c r="B45" s="11" t="s">
        <v>417</v>
      </c>
      <c r="C45" s="11" t="s">
        <v>418</v>
      </c>
      <c r="D45" s="11" t="s">
        <v>121</v>
      </c>
      <c r="E45" s="11" t="str">
        <f>"0,6137"</f>
        <v>0,6137</v>
      </c>
      <c r="F45" s="11" t="s">
        <v>125</v>
      </c>
      <c r="G45" s="12" t="s">
        <v>23</v>
      </c>
      <c r="H45" s="29">
        <v>33</v>
      </c>
      <c r="I45" s="12" t="str">
        <f>"2970,0"</f>
        <v>2970,0</v>
      </c>
      <c r="J45" s="12" t="str">
        <f>"1822,8374"</f>
        <v>1822,8374</v>
      </c>
      <c r="K45" s="11" t="s">
        <v>46</v>
      </c>
    </row>
    <row r="46" spans="1:11" ht="12.75">
      <c r="A46" s="12" t="s">
        <v>8</v>
      </c>
      <c r="B46" s="11" t="s">
        <v>419</v>
      </c>
      <c r="C46" s="11" t="s">
        <v>420</v>
      </c>
      <c r="D46" s="11" t="s">
        <v>234</v>
      </c>
      <c r="E46" s="11" t="str">
        <f>"0,6251"</f>
        <v>0,6251</v>
      </c>
      <c r="F46" s="11" t="s">
        <v>14</v>
      </c>
      <c r="G46" s="12" t="s">
        <v>41</v>
      </c>
      <c r="H46" s="29">
        <v>41</v>
      </c>
      <c r="I46" s="12" t="str">
        <f>"3587,5"</f>
        <v>3587,5</v>
      </c>
      <c r="J46" s="12" t="str">
        <f>"2264,9718"</f>
        <v>2264,9718</v>
      </c>
      <c r="K46" s="11" t="s">
        <v>46</v>
      </c>
    </row>
    <row r="47" spans="1:11" ht="12.75">
      <c r="A47" s="12" t="s">
        <v>13</v>
      </c>
      <c r="B47" s="11" t="s">
        <v>421</v>
      </c>
      <c r="C47" s="11" t="s">
        <v>201</v>
      </c>
      <c r="D47" s="11" t="s">
        <v>87</v>
      </c>
      <c r="E47" s="11" t="str">
        <f>"0,6119"</f>
        <v>0,6119</v>
      </c>
      <c r="F47" s="11" t="s">
        <v>221</v>
      </c>
      <c r="G47" s="12" t="s">
        <v>23</v>
      </c>
      <c r="H47" s="29">
        <v>27</v>
      </c>
      <c r="I47" s="12" t="str">
        <f>"2430,0"</f>
        <v>2430,0</v>
      </c>
      <c r="J47" s="12" t="str">
        <f>"1568,5693"</f>
        <v>1568,5693</v>
      </c>
      <c r="K47" s="11" t="s">
        <v>422</v>
      </c>
    </row>
    <row r="48" spans="1:11" ht="12.75">
      <c r="A48" s="12" t="s">
        <v>8</v>
      </c>
      <c r="B48" s="11" t="s">
        <v>412</v>
      </c>
      <c r="C48" s="11" t="s">
        <v>423</v>
      </c>
      <c r="D48" s="11" t="s">
        <v>144</v>
      </c>
      <c r="E48" s="11" t="str">
        <f>"0,6345"</f>
        <v>0,6345</v>
      </c>
      <c r="F48" s="11" t="s">
        <v>221</v>
      </c>
      <c r="G48" s="12" t="s">
        <v>22</v>
      </c>
      <c r="H48" s="29">
        <v>67</v>
      </c>
      <c r="I48" s="12" t="str">
        <f>"5695,0"</f>
        <v>5695,0</v>
      </c>
      <c r="J48" s="12" t="str">
        <f>"4426,1612"</f>
        <v>4426,1612</v>
      </c>
      <c r="K48" s="11" t="s">
        <v>46</v>
      </c>
    </row>
    <row r="49" spans="1:11" ht="12.75">
      <c r="A49" s="12" t="s">
        <v>8</v>
      </c>
      <c r="B49" s="11" t="s">
        <v>209</v>
      </c>
      <c r="C49" s="11" t="s">
        <v>340</v>
      </c>
      <c r="D49" s="11" t="s">
        <v>210</v>
      </c>
      <c r="E49" s="11" t="str">
        <f>"0,6402"</f>
        <v>0,6402</v>
      </c>
      <c r="F49" s="11" t="s">
        <v>127</v>
      </c>
      <c r="G49" s="12" t="s">
        <v>22</v>
      </c>
      <c r="H49" s="29">
        <v>17</v>
      </c>
      <c r="I49" s="12" t="str">
        <f>"1445,0"</f>
        <v>1445,0</v>
      </c>
      <c r="J49" s="12" t="str">
        <f>"1774,1822"</f>
        <v>1774,1822</v>
      </c>
      <c r="K49" s="11" t="s">
        <v>46</v>
      </c>
    </row>
    <row r="50" spans="1:11" ht="12.75">
      <c r="A50" s="14" t="s">
        <v>13</v>
      </c>
      <c r="B50" s="13" t="s">
        <v>235</v>
      </c>
      <c r="C50" s="13" t="s">
        <v>424</v>
      </c>
      <c r="D50" s="13" t="s">
        <v>198</v>
      </c>
      <c r="E50" s="13" t="str">
        <f>"0,6303"</f>
        <v>0,6303</v>
      </c>
      <c r="F50" s="13" t="s">
        <v>236</v>
      </c>
      <c r="G50" s="14" t="s">
        <v>41</v>
      </c>
      <c r="H50" s="30">
        <v>11</v>
      </c>
      <c r="I50" s="14" t="str">
        <f>"962,5"</f>
        <v>962,5</v>
      </c>
      <c r="J50" s="14" t="str">
        <f>"828,7684"</f>
        <v>828,7684</v>
      </c>
      <c r="K50" s="13" t="s">
        <v>46</v>
      </c>
    </row>
    <row r="51" ht="12.75">
      <c r="B51" s="5" t="s">
        <v>29</v>
      </c>
    </row>
    <row r="52" spans="1:8" ht="15">
      <c r="A52" s="47" t="s">
        <v>92</v>
      </c>
      <c r="B52" s="47"/>
      <c r="C52" s="47"/>
      <c r="D52" s="47"/>
      <c r="E52" s="47"/>
      <c r="F52" s="47"/>
      <c r="G52" s="47"/>
      <c r="H52" s="47"/>
    </row>
    <row r="53" spans="1:11" ht="12.75">
      <c r="A53" s="10" t="s">
        <v>8</v>
      </c>
      <c r="B53" s="9" t="s">
        <v>425</v>
      </c>
      <c r="C53" s="9" t="s">
        <v>426</v>
      </c>
      <c r="D53" s="9" t="s">
        <v>161</v>
      </c>
      <c r="E53" s="9" t="str">
        <f>"0,5850"</f>
        <v>0,5850</v>
      </c>
      <c r="F53" s="9" t="s">
        <v>69</v>
      </c>
      <c r="G53" s="10" t="s">
        <v>16</v>
      </c>
      <c r="H53" s="28">
        <v>101</v>
      </c>
      <c r="I53" s="10" t="str">
        <f>"10100,0"</f>
        <v>10100,0</v>
      </c>
      <c r="J53" s="10" t="str">
        <f>"5909,0049"</f>
        <v>5909,0049</v>
      </c>
      <c r="K53" s="9" t="s">
        <v>46</v>
      </c>
    </row>
    <row r="54" spans="1:11" ht="12.75">
      <c r="A54" s="12" t="s">
        <v>13</v>
      </c>
      <c r="B54" s="11" t="s">
        <v>427</v>
      </c>
      <c r="C54" s="11" t="s">
        <v>428</v>
      </c>
      <c r="D54" s="11" t="s">
        <v>95</v>
      </c>
      <c r="E54" s="11" t="str">
        <f>"0,5882"</f>
        <v>0,5882</v>
      </c>
      <c r="F54" s="11" t="s">
        <v>77</v>
      </c>
      <c r="G54" s="12" t="s">
        <v>44</v>
      </c>
      <c r="H54" s="29">
        <v>35</v>
      </c>
      <c r="I54" s="12" t="str">
        <f>"3412,5"</f>
        <v>3412,5</v>
      </c>
      <c r="J54" s="12" t="str">
        <f>"2007,4031"</f>
        <v>2007,4031</v>
      </c>
      <c r="K54" s="11" t="s">
        <v>91</v>
      </c>
    </row>
    <row r="55" spans="1:11" ht="12.75">
      <c r="A55" s="12" t="s">
        <v>21</v>
      </c>
      <c r="B55" s="11" t="s">
        <v>238</v>
      </c>
      <c r="C55" s="11" t="s">
        <v>239</v>
      </c>
      <c r="D55" s="11" t="s">
        <v>132</v>
      </c>
      <c r="E55" s="11" t="str">
        <f>"0,5938"</f>
        <v>0,5938</v>
      </c>
      <c r="F55" s="11" t="s">
        <v>167</v>
      </c>
      <c r="G55" s="12" t="s">
        <v>44</v>
      </c>
      <c r="H55" s="29">
        <v>28</v>
      </c>
      <c r="I55" s="12" t="str">
        <f>"2730,0"</f>
        <v>2730,0</v>
      </c>
      <c r="J55" s="12" t="str">
        <f>"1620,9375"</f>
        <v>1620,9375</v>
      </c>
      <c r="K55" s="11" t="s">
        <v>46</v>
      </c>
    </row>
    <row r="56" spans="1:11" ht="12.75">
      <c r="A56" s="12" t="s">
        <v>43</v>
      </c>
      <c r="B56" s="11" t="s">
        <v>146</v>
      </c>
      <c r="C56" s="11" t="s">
        <v>147</v>
      </c>
      <c r="D56" s="11" t="s">
        <v>145</v>
      </c>
      <c r="E56" s="11" t="str">
        <f>"0,5878"</f>
        <v>0,5878</v>
      </c>
      <c r="F56" s="11" t="s">
        <v>58</v>
      </c>
      <c r="G56" s="12" t="s">
        <v>44</v>
      </c>
      <c r="H56" s="29">
        <v>20</v>
      </c>
      <c r="I56" s="12" t="str">
        <f>"1950,0"</f>
        <v>1950,0</v>
      </c>
      <c r="J56" s="12" t="str">
        <f>"1146,1125"</f>
        <v>1146,1125</v>
      </c>
      <c r="K56" s="11" t="s">
        <v>46</v>
      </c>
    </row>
    <row r="57" spans="1:11" ht="12.75">
      <c r="A57" s="14" t="s">
        <v>8</v>
      </c>
      <c r="B57" s="13" t="s">
        <v>425</v>
      </c>
      <c r="C57" s="13" t="s">
        <v>429</v>
      </c>
      <c r="D57" s="13" t="s">
        <v>161</v>
      </c>
      <c r="E57" s="13" t="str">
        <f>"0,5850"</f>
        <v>0,5850</v>
      </c>
      <c r="F57" s="13" t="s">
        <v>69</v>
      </c>
      <c r="G57" s="14" t="s">
        <v>16</v>
      </c>
      <c r="H57" s="30">
        <v>101</v>
      </c>
      <c r="I57" s="14" t="str">
        <f>"10100,0"</f>
        <v>10100,0</v>
      </c>
      <c r="J57" s="14" t="str">
        <f>"6027,1850"</f>
        <v>6027,1850</v>
      </c>
      <c r="K57" s="13" t="s">
        <v>46</v>
      </c>
    </row>
    <row r="58" ht="12.75">
      <c r="B58" s="5" t="s">
        <v>29</v>
      </c>
    </row>
    <row r="59" spans="1:8" ht="15">
      <c r="A59" s="47" t="s">
        <v>97</v>
      </c>
      <c r="B59" s="47"/>
      <c r="C59" s="47"/>
      <c r="D59" s="47"/>
      <c r="E59" s="47"/>
      <c r="F59" s="47"/>
      <c r="G59" s="47"/>
      <c r="H59" s="47"/>
    </row>
    <row r="60" spans="1:11" ht="12.75">
      <c r="A60" s="10" t="s">
        <v>8</v>
      </c>
      <c r="B60" s="9" t="s">
        <v>241</v>
      </c>
      <c r="C60" s="9" t="s">
        <v>242</v>
      </c>
      <c r="D60" s="9" t="s">
        <v>162</v>
      </c>
      <c r="E60" s="9" t="str">
        <f>"0,5656"</f>
        <v>0,5656</v>
      </c>
      <c r="F60" s="9" t="s">
        <v>255</v>
      </c>
      <c r="G60" s="10" t="s">
        <v>39</v>
      </c>
      <c r="H60" s="28">
        <v>26</v>
      </c>
      <c r="I60" s="10" t="str">
        <f>"2860,0"</f>
        <v>2860,0</v>
      </c>
      <c r="J60" s="10" t="str">
        <f>"1617,7590"</f>
        <v>1617,7590</v>
      </c>
      <c r="K60" s="9" t="s">
        <v>243</v>
      </c>
    </row>
    <row r="61" spans="1:11" ht="12.75">
      <c r="A61" s="12" t="s">
        <v>13</v>
      </c>
      <c r="B61" s="11" t="s">
        <v>358</v>
      </c>
      <c r="C61" s="11" t="s">
        <v>359</v>
      </c>
      <c r="D61" s="11" t="s">
        <v>360</v>
      </c>
      <c r="E61" s="11" t="str">
        <f>"0,5802"</f>
        <v>0,5802</v>
      </c>
      <c r="F61" s="11" t="s">
        <v>361</v>
      </c>
      <c r="G61" s="12" t="s">
        <v>17</v>
      </c>
      <c r="H61" s="29">
        <v>26</v>
      </c>
      <c r="I61" s="12" t="str">
        <f>"2665,0"</f>
        <v>2665,0</v>
      </c>
      <c r="J61" s="12" t="str">
        <f>"1546,0998"</f>
        <v>1546,0998</v>
      </c>
      <c r="K61" s="11" t="s">
        <v>430</v>
      </c>
    </row>
    <row r="62" spans="1:11" ht="12.75">
      <c r="A62" s="12" t="s">
        <v>21</v>
      </c>
      <c r="B62" s="11" t="s">
        <v>431</v>
      </c>
      <c r="C62" s="11" t="s">
        <v>240</v>
      </c>
      <c r="D62" s="11" t="s">
        <v>123</v>
      </c>
      <c r="E62" s="11" t="str">
        <f>"0,5625"</f>
        <v>0,5625</v>
      </c>
      <c r="F62" s="11" t="s">
        <v>58</v>
      </c>
      <c r="G62" s="12" t="s">
        <v>39</v>
      </c>
      <c r="H62" s="29">
        <v>23</v>
      </c>
      <c r="I62" s="12" t="str">
        <f>"2530,0"</f>
        <v>2530,0</v>
      </c>
      <c r="J62" s="12" t="str">
        <f>"1423,1250"</f>
        <v>1423,1250</v>
      </c>
      <c r="K62" s="11" t="s">
        <v>46</v>
      </c>
    </row>
    <row r="63" spans="1:11" ht="12.75">
      <c r="A63" s="12" t="s">
        <v>43</v>
      </c>
      <c r="B63" s="11" t="s">
        <v>259</v>
      </c>
      <c r="C63" s="11" t="s">
        <v>260</v>
      </c>
      <c r="D63" s="11" t="s">
        <v>124</v>
      </c>
      <c r="E63" s="11" t="str">
        <f>"0,5631"</f>
        <v>0,5631</v>
      </c>
      <c r="F63" s="11" t="s">
        <v>58</v>
      </c>
      <c r="G63" s="12" t="s">
        <v>39</v>
      </c>
      <c r="H63" s="29">
        <v>15</v>
      </c>
      <c r="I63" s="12" t="str">
        <f>"1650,0"</f>
        <v>1650,0</v>
      </c>
      <c r="J63" s="12" t="str">
        <f>"929,1150"</f>
        <v>929,1150</v>
      </c>
      <c r="K63" s="11" t="s">
        <v>46</v>
      </c>
    </row>
    <row r="64" spans="1:11" ht="12.75">
      <c r="A64" s="12" t="s">
        <v>8</v>
      </c>
      <c r="B64" s="11" t="s">
        <v>244</v>
      </c>
      <c r="C64" s="11" t="s">
        <v>245</v>
      </c>
      <c r="D64" s="11" t="s">
        <v>246</v>
      </c>
      <c r="E64" s="11" t="str">
        <f>"0,5694"</f>
        <v>0,5694</v>
      </c>
      <c r="F64" s="11" t="s">
        <v>208</v>
      </c>
      <c r="G64" s="12" t="s">
        <v>50</v>
      </c>
      <c r="H64" s="29">
        <v>16</v>
      </c>
      <c r="I64" s="12" t="str">
        <f>"1720,0"</f>
        <v>1720,0</v>
      </c>
      <c r="J64" s="12" t="str">
        <f>"1106,6859"</f>
        <v>1106,6859</v>
      </c>
      <c r="K64" s="11" t="s">
        <v>247</v>
      </c>
    </row>
    <row r="65" spans="1:11" ht="12.75">
      <c r="A65" s="12" t="s">
        <v>13</v>
      </c>
      <c r="B65" s="11" t="s">
        <v>248</v>
      </c>
      <c r="C65" s="11" t="s">
        <v>249</v>
      </c>
      <c r="D65" s="11" t="s">
        <v>126</v>
      </c>
      <c r="E65" s="11" t="str">
        <f>"0,5713"</f>
        <v>0,5713</v>
      </c>
      <c r="F65" s="11" t="s">
        <v>96</v>
      </c>
      <c r="G65" s="12" t="s">
        <v>28</v>
      </c>
      <c r="H65" s="29">
        <v>15</v>
      </c>
      <c r="I65" s="12" t="str">
        <f>"1575,0"</f>
        <v>1575,0</v>
      </c>
      <c r="J65" s="12" t="str">
        <f>"1140,8434"</f>
        <v>1140,8434</v>
      </c>
      <c r="K65" s="11" t="s">
        <v>46</v>
      </c>
    </row>
    <row r="66" spans="1:11" ht="12.75">
      <c r="A66" s="12" t="s">
        <v>8</v>
      </c>
      <c r="B66" s="11" t="s">
        <v>250</v>
      </c>
      <c r="C66" s="11" t="s">
        <v>432</v>
      </c>
      <c r="D66" s="11" t="s">
        <v>220</v>
      </c>
      <c r="E66" s="11" t="str">
        <f>"0,5767"</f>
        <v>0,5767</v>
      </c>
      <c r="F66" s="11" t="s">
        <v>251</v>
      </c>
      <c r="G66" s="12" t="s">
        <v>17</v>
      </c>
      <c r="H66" s="29">
        <v>21</v>
      </c>
      <c r="I66" s="12" t="str">
        <f>"2152,5"</f>
        <v>2152,5</v>
      </c>
      <c r="J66" s="12" t="str">
        <f>"1763,9536"</f>
        <v>1763,9536</v>
      </c>
      <c r="K66" s="11" t="s">
        <v>252</v>
      </c>
    </row>
    <row r="67" spans="1:11" ht="12.75">
      <c r="A67" s="14" t="s">
        <v>13</v>
      </c>
      <c r="B67" s="13" t="s">
        <v>253</v>
      </c>
      <c r="C67" s="13" t="s">
        <v>433</v>
      </c>
      <c r="D67" s="13" t="s">
        <v>254</v>
      </c>
      <c r="E67" s="13" t="str">
        <f>"0,5763"</f>
        <v>0,5763</v>
      </c>
      <c r="F67" s="13" t="s">
        <v>127</v>
      </c>
      <c r="G67" s="14" t="s">
        <v>17</v>
      </c>
      <c r="H67" s="30">
        <v>16</v>
      </c>
      <c r="I67" s="14" t="str">
        <f>"1640,0"</f>
        <v>1640,0</v>
      </c>
      <c r="J67" s="14" t="str">
        <f>"1291,0504"</f>
        <v>1291,0504</v>
      </c>
      <c r="K67" s="13" t="s">
        <v>46</v>
      </c>
    </row>
    <row r="68" ht="12.75">
      <c r="B68" s="5" t="s">
        <v>29</v>
      </c>
    </row>
    <row r="69" spans="1:8" ht="15">
      <c r="A69" s="47" t="s">
        <v>98</v>
      </c>
      <c r="B69" s="47"/>
      <c r="C69" s="47"/>
      <c r="D69" s="47"/>
      <c r="E69" s="47"/>
      <c r="F69" s="47"/>
      <c r="G69" s="47"/>
      <c r="H69" s="47"/>
    </row>
    <row r="70" spans="1:11" ht="12.75">
      <c r="A70" s="8" t="s">
        <v>8</v>
      </c>
      <c r="B70" s="7" t="s">
        <v>434</v>
      </c>
      <c r="C70" s="7" t="s">
        <v>435</v>
      </c>
      <c r="D70" s="7" t="s">
        <v>436</v>
      </c>
      <c r="E70" s="7" t="str">
        <f>"0,5528"</f>
        <v>0,5528</v>
      </c>
      <c r="F70" s="7" t="s">
        <v>14</v>
      </c>
      <c r="G70" s="8" t="s">
        <v>20</v>
      </c>
      <c r="H70" s="26">
        <v>15</v>
      </c>
      <c r="I70" s="8" t="str">
        <f>"1800,0"</f>
        <v>1800,0</v>
      </c>
      <c r="J70" s="8" t="str">
        <f>"1141,3109"</f>
        <v>1141,3109</v>
      </c>
      <c r="K70" s="7" t="s">
        <v>46</v>
      </c>
    </row>
    <row r="71" ht="12.75">
      <c r="B71" s="5" t="s">
        <v>29</v>
      </c>
    </row>
    <row r="72" ht="12.75">
      <c r="B72" s="5" t="s">
        <v>29</v>
      </c>
    </row>
    <row r="73" ht="12.75">
      <c r="B73" s="5" t="s">
        <v>29</v>
      </c>
    </row>
    <row r="74" spans="2:6" ht="18">
      <c r="B74" s="15" t="s">
        <v>100</v>
      </c>
      <c r="C74" s="15"/>
      <c r="F74" s="3"/>
    </row>
    <row r="75" spans="2:6" ht="15">
      <c r="B75" s="16" t="s">
        <v>107</v>
      </c>
      <c r="C75" s="16"/>
      <c r="F75" s="3"/>
    </row>
    <row r="76" spans="2:6" ht="14.25">
      <c r="B76" s="17"/>
      <c r="C76" s="18" t="s">
        <v>101</v>
      </c>
      <c r="F76" s="3"/>
    </row>
    <row r="77" spans="2:6" ht="15">
      <c r="B77" s="19" t="s">
        <v>102</v>
      </c>
      <c r="C77" s="19" t="s">
        <v>103</v>
      </c>
      <c r="D77" s="19" t="s">
        <v>104</v>
      </c>
      <c r="E77" s="19" t="s">
        <v>274</v>
      </c>
      <c r="F77" s="19" t="s">
        <v>267</v>
      </c>
    </row>
    <row r="78" spans="2:6" ht="12.75">
      <c r="B78" s="5" t="s">
        <v>404</v>
      </c>
      <c r="C78" s="5" t="s">
        <v>101</v>
      </c>
      <c r="D78" s="6" t="s">
        <v>157</v>
      </c>
      <c r="E78" s="6" t="s">
        <v>437</v>
      </c>
      <c r="F78" s="6" t="s">
        <v>438</v>
      </c>
    </row>
    <row r="79" spans="2:6" ht="12.75">
      <c r="B79" s="5" t="s">
        <v>409</v>
      </c>
      <c r="C79" s="5" t="s">
        <v>101</v>
      </c>
      <c r="D79" s="6" t="s">
        <v>108</v>
      </c>
      <c r="E79" s="6" t="s">
        <v>439</v>
      </c>
      <c r="F79" s="6" t="s">
        <v>440</v>
      </c>
    </row>
    <row r="80" spans="2:6" ht="12.75">
      <c r="B80" s="5" t="s">
        <v>425</v>
      </c>
      <c r="C80" s="5" t="s">
        <v>101</v>
      </c>
      <c r="D80" s="6" t="s">
        <v>110</v>
      </c>
      <c r="E80" s="6" t="s">
        <v>441</v>
      </c>
      <c r="F80" s="6" t="s">
        <v>442</v>
      </c>
    </row>
    <row r="82" spans="2:3" ht="14.25">
      <c r="B82" s="17"/>
      <c r="C82" s="18" t="s">
        <v>111</v>
      </c>
    </row>
    <row r="83" spans="2:6" ht="15">
      <c r="B83" s="19" t="s">
        <v>102</v>
      </c>
      <c r="C83" s="19" t="s">
        <v>103</v>
      </c>
      <c r="D83" s="19" t="s">
        <v>104</v>
      </c>
      <c r="E83" s="19" t="s">
        <v>274</v>
      </c>
      <c r="F83" s="19" t="s">
        <v>267</v>
      </c>
    </row>
    <row r="84" spans="2:6" ht="12.75">
      <c r="B84" s="5" t="s">
        <v>404</v>
      </c>
      <c r="C84" s="5" t="s">
        <v>113</v>
      </c>
      <c r="D84" s="6" t="s">
        <v>157</v>
      </c>
      <c r="E84" s="6" t="s">
        <v>437</v>
      </c>
      <c r="F84" s="6" t="s">
        <v>443</v>
      </c>
    </row>
    <row r="85" spans="2:6" ht="12.75">
      <c r="B85" s="5" t="s">
        <v>425</v>
      </c>
      <c r="C85" s="5" t="s">
        <v>113</v>
      </c>
      <c r="D85" s="6" t="s">
        <v>110</v>
      </c>
      <c r="E85" s="6" t="s">
        <v>441</v>
      </c>
      <c r="F85" s="6" t="s">
        <v>444</v>
      </c>
    </row>
    <row r="86" spans="2:6" ht="12.75">
      <c r="B86" s="5" t="s">
        <v>412</v>
      </c>
      <c r="C86" s="5" t="s">
        <v>112</v>
      </c>
      <c r="D86" s="6" t="s">
        <v>108</v>
      </c>
      <c r="E86" s="6" t="s">
        <v>445</v>
      </c>
      <c r="F86" s="6" t="s">
        <v>446</v>
      </c>
    </row>
    <row r="87" ht="12.75">
      <c r="B87" s="5" t="s">
        <v>29</v>
      </c>
    </row>
  </sheetData>
  <sheetProtection/>
  <mergeCells count="25">
    <mergeCell ref="A69:H69"/>
    <mergeCell ref="B3:B4"/>
    <mergeCell ref="A27:H27"/>
    <mergeCell ref="A31:H31"/>
    <mergeCell ref="A36:H36"/>
    <mergeCell ref="A41:H41"/>
    <mergeCell ref="A52:H52"/>
    <mergeCell ref="A59:H59"/>
    <mergeCell ref="A8:H8"/>
    <mergeCell ref="A11:H11"/>
    <mergeCell ref="A14:H14"/>
    <mergeCell ref="A17:H17"/>
    <mergeCell ref="A20:H20"/>
    <mergeCell ref="A24:H2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23"/>
  <sheetViews>
    <sheetView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22.125" style="5" bestFit="1" customWidth="1"/>
    <col min="3" max="3" width="27.75390625" style="5" bestFit="1" customWidth="1"/>
    <col min="4" max="4" width="21.375" style="5" bestFit="1" customWidth="1"/>
    <col min="5" max="5" width="12.75390625" style="5" customWidth="1"/>
    <col min="6" max="6" width="19.25390625" style="5" bestFit="1" customWidth="1"/>
    <col min="7" max="7" width="11.25390625" style="6" customWidth="1"/>
    <col min="8" max="8" width="10.375" style="27" customWidth="1"/>
    <col min="9" max="9" width="7.875" style="6" bestFit="1" customWidth="1"/>
    <col min="10" max="10" width="9.375" style="6" bestFit="1" customWidth="1"/>
    <col min="11" max="11" width="23.875" style="5" customWidth="1"/>
    <col min="12" max="16384" width="9.125" style="3" customWidth="1"/>
  </cols>
  <sheetData>
    <row r="1" spans="1:11" s="2" customFormat="1" ht="28.5" customHeight="1">
      <c r="A1" s="36" t="s">
        <v>447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50" t="s">
        <v>1</v>
      </c>
      <c r="C3" s="46" t="s">
        <v>2</v>
      </c>
      <c r="D3" s="46" t="s">
        <v>3</v>
      </c>
      <c r="E3" s="31" t="s">
        <v>261</v>
      </c>
      <c r="F3" s="31" t="s">
        <v>4</v>
      </c>
      <c r="G3" s="31" t="s">
        <v>273</v>
      </c>
      <c r="H3" s="31"/>
      <c r="I3" s="31" t="s">
        <v>274</v>
      </c>
      <c r="J3" s="31" t="s">
        <v>5</v>
      </c>
      <c r="K3" s="33" t="s">
        <v>6</v>
      </c>
    </row>
    <row r="4" spans="1:11" s="1" customFormat="1" ht="21" customHeight="1" thickBot="1">
      <c r="A4" s="45"/>
      <c r="B4" s="51"/>
      <c r="C4" s="32"/>
      <c r="D4" s="32"/>
      <c r="E4" s="32"/>
      <c r="F4" s="32"/>
      <c r="G4" s="4" t="s">
        <v>275</v>
      </c>
      <c r="H4" s="25" t="s">
        <v>276</v>
      </c>
      <c r="I4" s="32"/>
      <c r="J4" s="32"/>
      <c r="K4" s="34"/>
    </row>
    <row r="5" spans="1:8" ht="15">
      <c r="A5" s="35" t="s">
        <v>30</v>
      </c>
      <c r="B5" s="35"/>
      <c r="C5" s="35"/>
      <c r="D5" s="35"/>
      <c r="E5" s="35"/>
      <c r="F5" s="35"/>
      <c r="G5" s="35"/>
      <c r="H5" s="35"/>
    </row>
    <row r="6" spans="1:11" ht="12.75">
      <c r="A6" s="8" t="s">
        <v>8</v>
      </c>
      <c r="B6" s="7" t="s">
        <v>448</v>
      </c>
      <c r="C6" s="7" t="s">
        <v>449</v>
      </c>
      <c r="D6" s="7" t="s">
        <v>114</v>
      </c>
      <c r="E6" s="7" t="str">
        <f>"1,1459"</f>
        <v>1,1459</v>
      </c>
      <c r="F6" s="7" t="s">
        <v>14</v>
      </c>
      <c r="G6" s="8" t="s">
        <v>61</v>
      </c>
      <c r="H6" s="26">
        <v>46</v>
      </c>
      <c r="I6" s="8" t="str">
        <f>"1150,0"</f>
        <v>1150,0</v>
      </c>
      <c r="J6" s="8" t="str">
        <f>"1317,7850"</f>
        <v>1317,7850</v>
      </c>
      <c r="K6" s="7" t="s">
        <v>177</v>
      </c>
    </row>
    <row r="7" ht="12.75">
      <c r="B7" s="5" t="s">
        <v>29</v>
      </c>
    </row>
    <row r="8" spans="1:8" ht="15">
      <c r="A8" s="47" t="s">
        <v>47</v>
      </c>
      <c r="B8" s="47"/>
      <c r="C8" s="47"/>
      <c r="D8" s="47"/>
      <c r="E8" s="47"/>
      <c r="F8" s="47"/>
      <c r="G8" s="47"/>
      <c r="H8" s="47"/>
    </row>
    <row r="9" spans="1:11" ht="12.75">
      <c r="A9" s="8" t="s">
        <v>8</v>
      </c>
      <c r="B9" s="7" t="s">
        <v>450</v>
      </c>
      <c r="C9" s="7" t="s">
        <v>451</v>
      </c>
      <c r="D9" s="7" t="s">
        <v>54</v>
      </c>
      <c r="E9" s="7" t="str">
        <f>"1,0545"</f>
        <v>1,0545</v>
      </c>
      <c r="F9" s="7" t="s">
        <v>74</v>
      </c>
      <c r="G9" s="8" t="s">
        <v>60</v>
      </c>
      <c r="H9" s="26">
        <v>25</v>
      </c>
      <c r="I9" s="8" t="str">
        <f>"750,0"</f>
        <v>750,0</v>
      </c>
      <c r="J9" s="8" t="str">
        <f>"790,8750"</f>
        <v>790,8750</v>
      </c>
      <c r="K9" s="7" t="s">
        <v>452</v>
      </c>
    </row>
    <row r="10" ht="12.75">
      <c r="B10" s="5" t="s">
        <v>29</v>
      </c>
    </row>
    <row r="11" spans="1:8" ht="15">
      <c r="A11" s="47" t="s">
        <v>64</v>
      </c>
      <c r="B11" s="47"/>
      <c r="C11" s="47"/>
      <c r="D11" s="47"/>
      <c r="E11" s="47"/>
      <c r="F11" s="47"/>
      <c r="G11" s="47"/>
      <c r="H11" s="47"/>
    </row>
    <row r="12" spans="1:11" ht="12.75">
      <c r="A12" s="8" t="s">
        <v>8</v>
      </c>
      <c r="B12" s="7" t="s">
        <v>164</v>
      </c>
      <c r="C12" s="7" t="s">
        <v>165</v>
      </c>
      <c r="D12" s="7" t="s">
        <v>166</v>
      </c>
      <c r="E12" s="7" t="str">
        <f>"0,9358"</f>
        <v>0,9358</v>
      </c>
      <c r="F12" s="7" t="s">
        <v>167</v>
      </c>
      <c r="G12" s="8" t="s">
        <v>148</v>
      </c>
      <c r="H12" s="26">
        <v>28</v>
      </c>
      <c r="I12" s="8" t="str">
        <f>"910,0"</f>
        <v>910,0</v>
      </c>
      <c r="J12" s="8" t="str">
        <f>"851,5325"</f>
        <v>851,5325</v>
      </c>
      <c r="K12" s="7" t="s">
        <v>46</v>
      </c>
    </row>
    <row r="13" ht="12.75">
      <c r="B13" s="5" t="s">
        <v>29</v>
      </c>
    </row>
    <row r="14" spans="1:8" ht="15">
      <c r="A14" s="47" t="s">
        <v>64</v>
      </c>
      <c r="B14" s="47"/>
      <c r="C14" s="47"/>
      <c r="D14" s="47"/>
      <c r="E14" s="47"/>
      <c r="F14" s="47"/>
      <c r="G14" s="47"/>
      <c r="H14" s="47"/>
    </row>
    <row r="15" spans="1:11" ht="12.75">
      <c r="A15" s="8" t="s">
        <v>8</v>
      </c>
      <c r="B15" s="7" t="s">
        <v>453</v>
      </c>
      <c r="C15" s="7" t="s">
        <v>454</v>
      </c>
      <c r="D15" s="7" t="s">
        <v>170</v>
      </c>
      <c r="E15" s="7" t="str">
        <f>"0,7531"</f>
        <v>0,7531</v>
      </c>
      <c r="F15" s="7" t="s">
        <v>9</v>
      </c>
      <c r="G15" s="8" t="s">
        <v>33</v>
      </c>
      <c r="H15" s="26">
        <v>50</v>
      </c>
      <c r="I15" s="8" t="str">
        <f>"1750,0"</f>
        <v>1750,0</v>
      </c>
      <c r="J15" s="8" t="str">
        <f>"1318,0125"</f>
        <v>1318,0125</v>
      </c>
      <c r="K15" s="7" t="s">
        <v>94</v>
      </c>
    </row>
    <row r="16" ht="12.75">
      <c r="B16" s="5" t="s">
        <v>29</v>
      </c>
    </row>
    <row r="17" spans="1:8" ht="15">
      <c r="A17" s="47" t="s">
        <v>75</v>
      </c>
      <c r="B17" s="47"/>
      <c r="C17" s="47"/>
      <c r="D17" s="47"/>
      <c r="E17" s="47"/>
      <c r="F17" s="47"/>
      <c r="G17" s="47"/>
      <c r="H17" s="47"/>
    </row>
    <row r="18" spans="1:11" ht="12.75">
      <c r="A18" s="10" t="s">
        <v>8</v>
      </c>
      <c r="B18" s="9" t="s">
        <v>182</v>
      </c>
      <c r="C18" s="9" t="s">
        <v>455</v>
      </c>
      <c r="D18" s="9" t="s">
        <v>181</v>
      </c>
      <c r="E18" s="9" t="str">
        <f>"0,6687"</f>
        <v>0,6687</v>
      </c>
      <c r="F18" s="9" t="s">
        <v>183</v>
      </c>
      <c r="G18" s="10" t="s">
        <v>18</v>
      </c>
      <c r="H18" s="28">
        <v>61</v>
      </c>
      <c r="I18" s="10" t="str">
        <f>"2440,0"</f>
        <v>2440,0</v>
      </c>
      <c r="J18" s="10" t="str">
        <f>"1631,7500"</f>
        <v>1631,7500</v>
      </c>
      <c r="K18" s="9" t="s">
        <v>184</v>
      </c>
    </row>
    <row r="19" spans="1:11" ht="12.75">
      <c r="A19" s="14" t="s">
        <v>8</v>
      </c>
      <c r="B19" s="13" t="s">
        <v>456</v>
      </c>
      <c r="C19" s="13" t="s">
        <v>457</v>
      </c>
      <c r="D19" s="13" t="s">
        <v>458</v>
      </c>
      <c r="E19" s="13" t="str">
        <f>"0,6682"</f>
        <v>0,6682</v>
      </c>
      <c r="F19" s="13" t="s">
        <v>122</v>
      </c>
      <c r="G19" s="14" t="s">
        <v>18</v>
      </c>
      <c r="H19" s="30">
        <v>46</v>
      </c>
      <c r="I19" s="14" t="str">
        <f>"1840,0"</f>
        <v>1840,0</v>
      </c>
      <c r="J19" s="14" t="str">
        <f>"1937,5281"</f>
        <v>1937,5281</v>
      </c>
      <c r="K19" s="13" t="s">
        <v>46</v>
      </c>
    </row>
    <row r="20" ht="12.75">
      <c r="B20" s="5" t="s">
        <v>29</v>
      </c>
    </row>
    <row r="21" spans="1:8" ht="15">
      <c r="A21" s="47" t="s">
        <v>92</v>
      </c>
      <c r="B21" s="47"/>
      <c r="C21" s="47"/>
      <c r="D21" s="47"/>
      <c r="E21" s="47"/>
      <c r="F21" s="47"/>
      <c r="G21" s="47"/>
      <c r="H21" s="47"/>
    </row>
    <row r="22" spans="1:11" ht="12.75">
      <c r="A22" s="8" t="s">
        <v>8</v>
      </c>
      <c r="B22" s="7" t="s">
        <v>213</v>
      </c>
      <c r="C22" s="7" t="s">
        <v>459</v>
      </c>
      <c r="D22" s="7" t="s">
        <v>214</v>
      </c>
      <c r="E22" s="7" t="str">
        <f>"0,5840"</f>
        <v>0,5840</v>
      </c>
      <c r="F22" s="7" t="s">
        <v>215</v>
      </c>
      <c r="G22" s="8" t="s">
        <v>26</v>
      </c>
      <c r="H22" s="26">
        <v>40</v>
      </c>
      <c r="I22" s="8" t="str">
        <f>"2000,0"</f>
        <v>2000,0</v>
      </c>
      <c r="J22" s="8" t="str">
        <f>"1168,1000"</f>
        <v>1168,1000</v>
      </c>
      <c r="K22" s="7" t="s">
        <v>46</v>
      </c>
    </row>
    <row r="23" ht="12.75">
      <c r="B23" s="5" t="s">
        <v>29</v>
      </c>
    </row>
  </sheetData>
  <sheetProtection/>
  <mergeCells count="17">
    <mergeCell ref="A8:H8"/>
    <mergeCell ref="A11:H11"/>
    <mergeCell ref="A14:H14"/>
    <mergeCell ref="A17:H17"/>
    <mergeCell ref="A21:H21"/>
    <mergeCell ref="A5:H5"/>
    <mergeCell ref="A1:K2"/>
    <mergeCell ref="A3:A4"/>
    <mergeCell ref="C3:C4"/>
    <mergeCell ref="D3:D4"/>
    <mergeCell ref="E3:E4"/>
    <mergeCell ref="F3:F4"/>
    <mergeCell ref="B3:B4"/>
    <mergeCell ref="G3:H3"/>
    <mergeCell ref="I3:I4"/>
    <mergeCell ref="J3:J4"/>
    <mergeCell ref="K3:K4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K13"/>
  <sheetViews>
    <sheetView tabSelected="1" zoomScalePageLayoutView="0" workbookViewId="0" topLeftCell="A1">
      <selection activeCell="A1" sqref="A1:K2"/>
    </sheetView>
  </sheetViews>
  <sheetFormatPr defaultColWidth="9.125" defaultRowHeight="12.75"/>
  <cols>
    <col min="1" max="1" width="7.375" style="5" bestFit="1" customWidth="1"/>
    <col min="2" max="2" width="25.375" style="5" customWidth="1"/>
    <col min="3" max="3" width="26.25390625" style="5" bestFit="1" customWidth="1"/>
    <col min="4" max="4" width="21.375" style="5" bestFit="1" customWidth="1"/>
    <col min="5" max="5" width="10.375" style="5" bestFit="1" customWidth="1"/>
    <col min="6" max="6" width="18.75390625" style="5" customWidth="1"/>
    <col min="7" max="7" width="10.375" style="6" customWidth="1"/>
    <col min="8" max="8" width="10.375" style="27" customWidth="1"/>
    <col min="9" max="9" width="7.875" style="6" bestFit="1" customWidth="1"/>
    <col min="10" max="10" width="9.375" style="6" bestFit="1" customWidth="1"/>
    <col min="11" max="11" width="23.75390625" style="5" customWidth="1"/>
    <col min="12" max="16384" width="9.125" style="3" customWidth="1"/>
  </cols>
  <sheetData>
    <row r="1" spans="1:11" s="2" customFormat="1" ht="28.5" customHeight="1">
      <c r="A1" s="36" t="s">
        <v>460</v>
      </c>
      <c r="B1" s="37"/>
      <c r="C1" s="38"/>
      <c r="D1" s="38"/>
      <c r="E1" s="38"/>
      <c r="F1" s="38"/>
      <c r="G1" s="38"/>
      <c r="H1" s="38"/>
      <c r="I1" s="38"/>
      <c r="J1" s="38"/>
      <c r="K1" s="39"/>
    </row>
    <row r="2" spans="1:11" s="2" customFormat="1" ht="61.5" customHeight="1" thickBot="1">
      <c r="A2" s="40"/>
      <c r="B2" s="41"/>
      <c r="C2" s="42"/>
      <c r="D2" s="42"/>
      <c r="E2" s="42"/>
      <c r="F2" s="42"/>
      <c r="G2" s="42"/>
      <c r="H2" s="42"/>
      <c r="I2" s="42"/>
      <c r="J2" s="42"/>
      <c r="K2" s="43"/>
    </row>
    <row r="3" spans="1:11" s="1" customFormat="1" ht="12.75" customHeight="1">
      <c r="A3" s="44" t="s">
        <v>0</v>
      </c>
      <c r="B3" s="50" t="s">
        <v>1</v>
      </c>
      <c r="C3" s="46" t="s">
        <v>2</v>
      </c>
      <c r="D3" s="46" t="s">
        <v>3</v>
      </c>
      <c r="E3" s="31" t="s">
        <v>261</v>
      </c>
      <c r="F3" s="31" t="s">
        <v>4</v>
      </c>
      <c r="G3" s="31" t="s">
        <v>273</v>
      </c>
      <c r="H3" s="31"/>
      <c r="I3" s="31" t="s">
        <v>274</v>
      </c>
      <c r="J3" s="31" t="s">
        <v>5</v>
      </c>
      <c r="K3" s="33" t="s">
        <v>6</v>
      </c>
    </row>
    <row r="4" spans="1:11" s="1" customFormat="1" ht="21" customHeight="1" thickBot="1">
      <c r="A4" s="45"/>
      <c r="B4" s="51"/>
      <c r="C4" s="32"/>
      <c r="D4" s="32"/>
      <c r="E4" s="32"/>
      <c r="F4" s="32"/>
      <c r="G4" s="4" t="s">
        <v>275</v>
      </c>
      <c r="H4" s="25" t="s">
        <v>276</v>
      </c>
      <c r="I4" s="32"/>
      <c r="J4" s="32"/>
      <c r="K4" s="34"/>
    </row>
    <row r="5" spans="1:8" ht="15">
      <c r="A5" s="35" t="s">
        <v>72</v>
      </c>
      <c r="B5" s="35"/>
      <c r="C5" s="35"/>
      <c r="D5" s="35"/>
      <c r="E5" s="35"/>
      <c r="F5" s="35"/>
      <c r="G5" s="35"/>
      <c r="H5" s="35"/>
    </row>
    <row r="6" spans="1:11" ht="12.75">
      <c r="A6" s="8" t="s">
        <v>8</v>
      </c>
      <c r="B6" s="7" t="s">
        <v>461</v>
      </c>
      <c r="C6" s="7" t="s">
        <v>462</v>
      </c>
      <c r="D6" s="7" t="s">
        <v>116</v>
      </c>
      <c r="E6" s="7" t="str">
        <f>"0,7034"</f>
        <v>0,7034</v>
      </c>
      <c r="F6" s="7" t="s">
        <v>463</v>
      </c>
      <c r="G6" s="8" t="s">
        <v>131</v>
      </c>
      <c r="H6" s="26">
        <v>95</v>
      </c>
      <c r="I6" s="8" t="str">
        <f>"3562,5"</f>
        <v>3562,5</v>
      </c>
      <c r="J6" s="8" t="str">
        <f>"3490,6665"</f>
        <v>3490,6665</v>
      </c>
      <c r="K6" s="7" t="s">
        <v>46</v>
      </c>
    </row>
    <row r="7" ht="12.75">
      <c r="B7" s="5" t="s">
        <v>29</v>
      </c>
    </row>
    <row r="8" spans="1:8" ht="15">
      <c r="A8" s="47" t="s">
        <v>76</v>
      </c>
      <c r="B8" s="47"/>
      <c r="C8" s="47"/>
      <c r="D8" s="47"/>
      <c r="E8" s="47"/>
      <c r="F8" s="47"/>
      <c r="G8" s="47"/>
      <c r="H8" s="47"/>
    </row>
    <row r="9" spans="1:11" ht="12.75">
      <c r="A9" s="8" t="s">
        <v>8</v>
      </c>
      <c r="B9" s="7" t="s">
        <v>464</v>
      </c>
      <c r="C9" s="7" t="s">
        <v>465</v>
      </c>
      <c r="D9" s="7" t="s">
        <v>87</v>
      </c>
      <c r="E9" s="7" t="str">
        <f>"0,6119"</f>
        <v>0,6119</v>
      </c>
      <c r="F9" s="7" t="s">
        <v>466</v>
      </c>
      <c r="G9" s="8" t="s">
        <v>19</v>
      </c>
      <c r="H9" s="26">
        <v>55</v>
      </c>
      <c r="I9" s="8" t="str">
        <f>"2475,0"</f>
        <v>2475,0</v>
      </c>
      <c r="J9" s="8" t="str">
        <f>"2151,8612"</f>
        <v>2151,8612</v>
      </c>
      <c r="K9" s="7" t="s">
        <v>46</v>
      </c>
    </row>
    <row r="10" ht="12.75">
      <c r="B10" s="5" t="s">
        <v>29</v>
      </c>
    </row>
    <row r="11" spans="1:8" ht="15">
      <c r="A11" s="47" t="s">
        <v>92</v>
      </c>
      <c r="B11" s="47"/>
      <c r="C11" s="47"/>
      <c r="D11" s="47"/>
      <c r="E11" s="47"/>
      <c r="F11" s="47"/>
      <c r="G11" s="47"/>
      <c r="H11" s="47"/>
    </row>
    <row r="12" spans="1:11" ht="12.75">
      <c r="A12" s="8" t="s">
        <v>8</v>
      </c>
      <c r="B12" s="7" t="s">
        <v>467</v>
      </c>
      <c r="C12" s="7" t="s">
        <v>468</v>
      </c>
      <c r="D12" s="7" t="s">
        <v>237</v>
      </c>
      <c r="E12" s="7" t="str">
        <f>"0,5949"</f>
        <v>0,5949</v>
      </c>
      <c r="F12" s="7" t="s">
        <v>188</v>
      </c>
      <c r="G12" s="8" t="s">
        <v>25</v>
      </c>
      <c r="H12" s="26">
        <v>78</v>
      </c>
      <c r="I12" s="8" t="str">
        <f>"3705,0"</f>
        <v>3705,0</v>
      </c>
      <c r="J12" s="8" t="str">
        <f>"3400,9333"</f>
        <v>3400,9333</v>
      </c>
      <c r="K12" s="7" t="s">
        <v>46</v>
      </c>
    </row>
    <row r="13" ht="12.75">
      <c r="B13" s="5" t="s">
        <v>29</v>
      </c>
    </row>
  </sheetData>
  <sheetProtection/>
  <mergeCells count="14">
    <mergeCell ref="A8:H8"/>
    <mergeCell ref="A11:H11"/>
    <mergeCell ref="B3:B4"/>
    <mergeCell ref="G3:H3"/>
    <mergeCell ref="I3:I4"/>
    <mergeCell ref="J3:J4"/>
    <mergeCell ref="K3:K4"/>
    <mergeCell ref="A5:H5"/>
    <mergeCell ref="A1:K2"/>
    <mergeCell ref="A3:A4"/>
    <mergeCell ref="C3:C4"/>
    <mergeCell ref="D3:D4"/>
    <mergeCell ref="E3:E4"/>
    <mergeCell ref="F3:F4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Tomchin</dc:creator>
  <cp:keywords/>
  <dc:description/>
  <cp:lastModifiedBy>Pascal Girard</cp:lastModifiedBy>
  <dcterms:created xsi:type="dcterms:W3CDTF">2002-06-16T13:36:44Z</dcterms:created>
  <dcterms:modified xsi:type="dcterms:W3CDTF">2021-12-23T13:16:31Z</dcterms:modified>
  <cp:category/>
  <cp:version/>
  <cp:contentType/>
  <cp:contentStatus/>
</cp:coreProperties>
</file>