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tabRatio="783" activeTab="0"/>
  </bookViews>
  <sheets>
    <sheet name="WRPF Multi reps BP (own bw) DT" sheetId="1" r:id="rId1"/>
    <sheet name="WRPF Multi reps BP (own bw)" sheetId="2" r:id="rId2"/>
    <sheet name="WRPF MultiReps BP(0,5own bw)DT " sheetId="3" r:id="rId3"/>
    <sheet name="WRPF MultiReps BP(0,5own bw)" sheetId="4" r:id="rId4"/>
  </sheets>
  <definedNames/>
  <calcPr fullCalcOnLoad="1"/>
</workbook>
</file>

<file path=xl/sharedStrings.xml><?xml version="1.0" encoding="utf-8"?>
<sst xmlns="http://schemas.openxmlformats.org/spreadsheetml/2006/main" count="754" uniqueCount="362">
  <si>
    <t>Place</t>
  </si>
  <si>
    <t>Name</t>
  </si>
  <si>
    <t>Age class
dob / age</t>
  </si>
  <si>
    <t>Own bw</t>
  </si>
  <si>
    <t>Country / city</t>
  </si>
  <si>
    <t>Points</t>
  </si>
  <si>
    <t>Coach</t>
  </si>
  <si>
    <t>WEIGHT CLASS   44</t>
  </si>
  <si>
    <t>-</t>
  </si>
  <si>
    <t>42,50</t>
  </si>
  <si>
    <t xml:space="preserve">Russia / Kazan </t>
  </si>
  <si>
    <t>87,5</t>
  </si>
  <si>
    <t>1</t>
  </si>
  <si>
    <t>82,5</t>
  </si>
  <si>
    <t>85,0</t>
  </si>
  <si>
    <t>92,5</t>
  </si>
  <si>
    <t>97,5</t>
  </si>
  <si>
    <t/>
  </si>
  <si>
    <t>77,5</t>
  </si>
  <si>
    <t>37,5</t>
  </si>
  <si>
    <t>40,0</t>
  </si>
  <si>
    <t>75,0</t>
  </si>
  <si>
    <t>60,0</t>
  </si>
  <si>
    <t>2</t>
  </si>
  <si>
    <t>90,0</t>
  </si>
  <si>
    <t>45,0</t>
  </si>
  <si>
    <t>132,5</t>
  </si>
  <si>
    <t>3</t>
  </si>
  <si>
    <t>105,0</t>
  </si>
  <si>
    <t>110,0</t>
  </si>
  <si>
    <t>112,5</t>
  </si>
  <si>
    <t xml:space="preserve">- </t>
  </si>
  <si>
    <t xml:space="preserve">Russia / Moscow </t>
  </si>
  <si>
    <t>47,5</t>
  </si>
  <si>
    <t>100,0</t>
  </si>
  <si>
    <t>125,0</t>
  </si>
  <si>
    <t>4</t>
  </si>
  <si>
    <t>70,0</t>
  </si>
  <si>
    <t>WEIGHT CLASS   56</t>
  </si>
  <si>
    <t>72,5</t>
  </si>
  <si>
    <t>42,5</t>
  </si>
  <si>
    <t>WEIGHT CLASS   60</t>
  </si>
  <si>
    <t>WEIGHT CLASS   67.5</t>
  </si>
  <si>
    <t>107,5</t>
  </si>
  <si>
    <t>64,20</t>
  </si>
  <si>
    <t>67,5</t>
  </si>
  <si>
    <t xml:space="preserve">Russia / Ekaterinburg </t>
  </si>
  <si>
    <t>WEIGHT CLASS   75</t>
  </si>
  <si>
    <t>Saiyfulina Natalya</t>
  </si>
  <si>
    <t>Open (14.01.1982)/38</t>
  </si>
  <si>
    <t xml:space="preserve">Russia / Norilsk </t>
  </si>
  <si>
    <t xml:space="preserve">Saiyfulin A. </t>
  </si>
  <si>
    <t>WEIGHT CLASS   82.5</t>
  </si>
  <si>
    <t>WEIGHT CLASS   90</t>
  </si>
  <si>
    <t xml:space="preserve">Russia / Baksan </t>
  </si>
  <si>
    <t xml:space="preserve">Tkhamitlokov K. </t>
  </si>
  <si>
    <t>67,50</t>
  </si>
  <si>
    <t xml:space="preserve">Russia / Syktyvkar </t>
  </si>
  <si>
    <t>74,30</t>
  </si>
  <si>
    <t>80,80</t>
  </si>
  <si>
    <t xml:space="preserve">Russia / Liubertsy </t>
  </si>
  <si>
    <t xml:space="preserve">Russia / Kaliningrad </t>
  </si>
  <si>
    <t>WEIGHT CLASS   100</t>
  </si>
  <si>
    <t>97,90</t>
  </si>
  <si>
    <t>98,80</t>
  </si>
  <si>
    <t>94,00</t>
  </si>
  <si>
    <t>WEIGHT CLASS   110</t>
  </si>
  <si>
    <t>WEIGHT CLASS   125</t>
  </si>
  <si>
    <t>WEIGHT CLASS   140</t>
  </si>
  <si>
    <t xml:space="preserve">Best lifters </t>
  </si>
  <si>
    <t xml:space="preserve">Open </t>
  </si>
  <si>
    <t xml:space="preserve">Name </t>
  </si>
  <si>
    <t xml:space="preserve">Age class </t>
  </si>
  <si>
    <t>Weight class</t>
  </si>
  <si>
    <t xml:space="preserve">Men </t>
  </si>
  <si>
    <t>82.5</t>
  </si>
  <si>
    <t>75</t>
  </si>
  <si>
    <t>90</t>
  </si>
  <si>
    <t xml:space="preserve">Masters </t>
  </si>
  <si>
    <t xml:space="preserve">Masters 50-59 </t>
  </si>
  <si>
    <t>100</t>
  </si>
  <si>
    <t xml:space="preserve">Masters 40-49 </t>
  </si>
  <si>
    <t>32,5</t>
  </si>
  <si>
    <t>35,0</t>
  </si>
  <si>
    <t xml:space="preserve">Russia / Saratov </t>
  </si>
  <si>
    <t>59,60</t>
  </si>
  <si>
    <t>Russia / Saint Petersburg</t>
  </si>
  <si>
    <t>72,50</t>
  </si>
  <si>
    <t xml:space="preserve">Russia / Kirov </t>
  </si>
  <si>
    <t xml:space="preserve">Russia / Khimki </t>
  </si>
  <si>
    <t xml:space="preserve">Obukhov F. </t>
  </si>
  <si>
    <t xml:space="preserve">Russia / Monino </t>
  </si>
  <si>
    <t>87,40</t>
  </si>
  <si>
    <t>88,00</t>
  </si>
  <si>
    <t xml:space="preserve">Russia / Samara </t>
  </si>
  <si>
    <t>60</t>
  </si>
  <si>
    <t>110</t>
  </si>
  <si>
    <t xml:space="preserve">Belarus / Lida </t>
  </si>
  <si>
    <t>89,10</t>
  </si>
  <si>
    <t>92,40</t>
  </si>
  <si>
    <t>82,50</t>
  </si>
  <si>
    <t>87,10</t>
  </si>
  <si>
    <t xml:space="preserve">Telidis K. </t>
  </si>
  <si>
    <t>27,5</t>
  </si>
  <si>
    <t>30,0</t>
  </si>
  <si>
    <t>71,70</t>
  </si>
  <si>
    <t>125,00</t>
  </si>
  <si>
    <t>89,60</t>
  </si>
  <si>
    <t xml:space="preserve">Russia / Korolev </t>
  </si>
  <si>
    <t>Zhukova Iuliya</t>
  </si>
  <si>
    <t>Open (11.12.1983)/37</t>
  </si>
  <si>
    <t>Gavrilova Olga</t>
  </si>
  <si>
    <t>Open (30.11.1985)/35</t>
  </si>
  <si>
    <t>53,00</t>
  </si>
  <si>
    <t xml:space="preserve">Pozdnyakov I. </t>
  </si>
  <si>
    <t>59,70</t>
  </si>
  <si>
    <t>Doskhoeva Maret</t>
  </si>
  <si>
    <t>Open (03.12.1999)/21</t>
  </si>
  <si>
    <t>65,70</t>
  </si>
  <si>
    <t xml:space="preserve">Nikitin S. </t>
  </si>
  <si>
    <t xml:space="preserve"> Russia / Alkadar </t>
  </si>
  <si>
    <t>74,10</t>
  </si>
  <si>
    <t>Vrinchan Vladimir</t>
  </si>
  <si>
    <t xml:space="preserve">Russia / Gubkinskiy </t>
  </si>
  <si>
    <t xml:space="preserve">Tatyanina Iu. </t>
  </si>
  <si>
    <t xml:space="preserve">Russia / Lipetsk </t>
  </si>
  <si>
    <t>Pliusnin Oleg</t>
  </si>
  <si>
    <t>Masters 50-59 (22.03.1963)/57</t>
  </si>
  <si>
    <t>75,70</t>
  </si>
  <si>
    <t xml:space="preserve">Vasev A. </t>
  </si>
  <si>
    <t>Pleshkov Vladimir</t>
  </si>
  <si>
    <t>Mischenko Artem</t>
  </si>
  <si>
    <t>Open (26.06.1984)/36</t>
  </si>
  <si>
    <t>88,50</t>
  </si>
  <si>
    <t xml:space="preserve">Chokaev U. </t>
  </si>
  <si>
    <t>Smerdov Evgeniiy</t>
  </si>
  <si>
    <t>Open (26.01.1987)/33</t>
  </si>
  <si>
    <t>86,40</t>
  </si>
  <si>
    <t>Taldykin Alekseiy</t>
  </si>
  <si>
    <t>Masters 40-49 (29.03.1980)/40</t>
  </si>
  <si>
    <t>89,20</t>
  </si>
  <si>
    <t>91,50</t>
  </si>
  <si>
    <t>94,20</t>
  </si>
  <si>
    <t>Strakhalis Sergeiy</t>
  </si>
  <si>
    <t>Masters 50-59 (10.03.1963)/57</t>
  </si>
  <si>
    <t>95,80</t>
  </si>
  <si>
    <t xml:space="preserve">Varava I. </t>
  </si>
  <si>
    <t>Omarov Magomed</t>
  </si>
  <si>
    <t>Masters 50-59 (30.05.1963)/57</t>
  </si>
  <si>
    <t>Voiytenko Vladimir</t>
  </si>
  <si>
    <t xml:space="preserve">Russia / Chita </t>
  </si>
  <si>
    <t xml:space="preserve">Khashpakov M. </t>
  </si>
  <si>
    <t>Vasilev Viktor</t>
  </si>
  <si>
    <t>103,50</t>
  </si>
  <si>
    <t>Nachoev Asker</t>
  </si>
  <si>
    <t>Open (18.03.1982)/38</t>
  </si>
  <si>
    <t>111,60</t>
  </si>
  <si>
    <t>Zhukov Sergeiy</t>
  </si>
  <si>
    <t xml:space="preserve">Khadzhinov R. </t>
  </si>
  <si>
    <t>Kozlov Valentin</t>
  </si>
  <si>
    <t>72,80</t>
  </si>
  <si>
    <t xml:space="preserve">Russia / Murom </t>
  </si>
  <si>
    <t xml:space="preserve">Russia / Vladivostok </t>
  </si>
  <si>
    <t>Vaniev Dzhemal</t>
  </si>
  <si>
    <t>Masters 40-49 (26.12.1979)/40</t>
  </si>
  <si>
    <t>Bazhenov Valeriiy</t>
  </si>
  <si>
    <t>85,00</t>
  </si>
  <si>
    <t xml:space="preserve">Russia / Glazov </t>
  </si>
  <si>
    <t>Bochaev Askhab</t>
  </si>
  <si>
    <t>Open (04.11.1992)/28</t>
  </si>
  <si>
    <t>96,70</t>
  </si>
  <si>
    <t xml:space="preserve">Russia / Urus-Martan </t>
  </si>
  <si>
    <t>106,40</t>
  </si>
  <si>
    <t>108,60</t>
  </si>
  <si>
    <t>Shomakhov Albert</t>
  </si>
  <si>
    <t>Masters 50-59 (08.06.1968)/52</t>
  </si>
  <si>
    <t>107,50</t>
  </si>
  <si>
    <t>83,00</t>
  </si>
  <si>
    <t>Gloss</t>
  </si>
  <si>
    <t>88,20</t>
  </si>
  <si>
    <t>Kurotchenko Igor</t>
  </si>
  <si>
    <t>Masters 50-59 (20.03.1962)/58</t>
  </si>
  <si>
    <t xml:space="preserve"> Russia / Moscow </t>
  </si>
  <si>
    <t xml:space="preserve">Gloss </t>
  </si>
  <si>
    <t>77,20</t>
  </si>
  <si>
    <t xml:space="preserve">Russia / Losino-Petrovskiy </t>
  </si>
  <si>
    <t xml:space="preserve">Rasskazov G. </t>
  </si>
  <si>
    <t>Terletskiiy Matveiy</t>
  </si>
  <si>
    <t>Open (22.04.1992)/28</t>
  </si>
  <si>
    <t xml:space="preserve">Potapov A. </t>
  </si>
  <si>
    <t>VI World Championship
WRPF Multi-repetition Bench Press (own bw) Doping Tested
Russia / Moscow, December 17-20, 2020</t>
  </si>
  <si>
    <t>Multi-repetition BP</t>
  </si>
  <si>
    <t>Tonnage</t>
  </si>
  <si>
    <t>Weight</t>
  </si>
  <si>
    <t>Reps</t>
  </si>
  <si>
    <t>Junior 20-23 (03.12.1999)/21</t>
  </si>
  <si>
    <t>Neznamov Igor</t>
  </si>
  <si>
    <t>Open (05.09.1970)/50</t>
  </si>
  <si>
    <t>Masters 50-59 (05.09.1970)/50</t>
  </si>
  <si>
    <t>Bykov Evgeniiy</t>
  </si>
  <si>
    <t>Open (02.07.1981)/39</t>
  </si>
  <si>
    <t>Zakharko Timofeiy</t>
  </si>
  <si>
    <t>Junior 20-23 (01.06.1998)/22</t>
  </si>
  <si>
    <t>72,10</t>
  </si>
  <si>
    <t>Abdurakhmanov Zaur</t>
  </si>
  <si>
    <t>Open (24.06.1990)/30</t>
  </si>
  <si>
    <t>72,20</t>
  </si>
  <si>
    <t>Masters 60+ (14.11.1954)/66</t>
  </si>
  <si>
    <t>Masters 60+ (29.08.1944)/76</t>
  </si>
  <si>
    <t>Reutov Sergeiy</t>
  </si>
  <si>
    <t>Open (25.07.1989)/31</t>
  </si>
  <si>
    <t xml:space="preserve">Russia / Izhevsk </t>
  </si>
  <si>
    <t xml:space="preserve">Shafigulin R. </t>
  </si>
  <si>
    <t>Smirnov Leonid</t>
  </si>
  <si>
    <t>Masters 60+ (26.09.1957)/63</t>
  </si>
  <si>
    <t>Apazhev Zaur</t>
  </si>
  <si>
    <t>Open (22.09.1984)/36</t>
  </si>
  <si>
    <t>92,50</t>
  </si>
  <si>
    <t>Masters 60+ (26.07.1956)/64</t>
  </si>
  <si>
    <t>Belyaev Dmitriiy</t>
  </si>
  <si>
    <t>Open (12.06.1984)/36</t>
  </si>
  <si>
    <t>103,00</t>
  </si>
  <si>
    <t xml:space="preserve">Perov P. </t>
  </si>
  <si>
    <t>Masters 60+ (09.02.1954)/66</t>
  </si>
  <si>
    <t>Open (06.08.1973)/47</t>
  </si>
  <si>
    <t>Savin Ruslan</t>
  </si>
  <si>
    <t>Open (26.12.1978)/41</t>
  </si>
  <si>
    <t>132,40</t>
  </si>
  <si>
    <t>Masters 40-49 (26.12.1978)/41</t>
  </si>
  <si>
    <t>3842,5</t>
  </si>
  <si>
    <t>2722,9876</t>
  </si>
  <si>
    <t>3825,0</t>
  </si>
  <si>
    <t>2456,0324</t>
  </si>
  <si>
    <t>3360,0</t>
  </si>
  <si>
    <t>1930,6559</t>
  </si>
  <si>
    <t>2247,5</t>
  </si>
  <si>
    <t>1948,8562</t>
  </si>
  <si>
    <t>1920,0</t>
  </si>
  <si>
    <t>1818,7757</t>
  </si>
  <si>
    <t>2035,0</t>
  </si>
  <si>
    <t>1556,7432</t>
  </si>
  <si>
    <t>VI World Championship
WRPF Multi-repetition Bench Press (own bw)
Russia / Moscow, December 17-20, 2020</t>
  </si>
  <si>
    <t>Gracheva Olga</t>
  </si>
  <si>
    <t>Masters 40-49 (19.09.1978)/42</t>
  </si>
  <si>
    <t>Yakovlev Iuriiy</t>
  </si>
  <si>
    <t>Open (01.06.1973)/47</t>
  </si>
  <si>
    <t>Pykhonin Piotr</t>
  </si>
  <si>
    <t>Open (07.07.1991)/29</t>
  </si>
  <si>
    <t>69,90</t>
  </si>
  <si>
    <t xml:space="preserve">Voronin E. </t>
  </si>
  <si>
    <t>Petruk Aleksandr</t>
  </si>
  <si>
    <t>Open (18.09.1978)/42</t>
  </si>
  <si>
    <t>Masters 40-49 (01.06.1973)/47</t>
  </si>
  <si>
    <t>Masters 40-49 (18.09.1978)/42</t>
  </si>
  <si>
    <t>Aleksandrov Dmitriiy</t>
  </si>
  <si>
    <t>Masters 40-49 (27.12.1979)/40</t>
  </si>
  <si>
    <t xml:space="preserve">Russia / Anapa </t>
  </si>
  <si>
    <t>Telidis Kostas</t>
  </si>
  <si>
    <t>Open (18.04.1989)/31</t>
  </si>
  <si>
    <t xml:space="preserve">Russia / Svirsk </t>
  </si>
  <si>
    <t>Rasskazov Gennadiiy</t>
  </si>
  <si>
    <t>Open (04.09.1966)/54</t>
  </si>
  <si>
    <t>Mezhenin Ivan</t>
  </si>
  <si>
    <t>Open (08.01.1973)/47</t>
  </si>
  <si>
    <t xml:space="preserve">Alekseev V. </t>
  </si>
  <si>
    <t>Latyshev Sergeiy</t>
  </si>
  <si>
    <t>Open (27.11.1983)/37</t>
  </si>
  <si>
    <t>82,70</t>
  </si>
  <si>
    <t xml:space="preserve">Russia / Vologda </t>
  </si>
  <si>
    <t>Masters 40-49 (08.01.1973)/47</t>
  </si>
  <si>
    <t>Dykin Mikhail</t>
  </si>
  <si>
    <t>Masters 40-49 (07.11.1971)/49</t>
  </si>
  <si>
    <t>Masters 50-59 (04.09.1966)/54</t>
  </si>
  <si>
    <t>Masters 60+ (16.08.1960)/60</t>
  </si>
  <si>
    <t>Verigin Vladislav</t>
  </si>
  <si>
    <t>Open (11.04.1989)/31</t>
  </si>
  <si>
    <t>91,40</t>
  </si>
  <si>
    <t xml:space="preserve">Russia / Nalchik </t>
  </si>
  <si>
    <t xml:space="preserve">Drozdov A. </t>
  </si>
  <si>
    <t>Pragin Roman</t>
  </si>
  <si>
    <t>Open (02.06.1986)/34</t>
  </si>
  <si>
    <t>91,90</t>
  </si>
  <si>
    <t>Zlobin Alekseiy</t>
  </si>
  <si>
    <t>Open (28.05.1984)/36</t>
  </si>
  <si>
    <t xml:space="preserve">Russia / Chekhov </t>
  </si>
  <si>
    <t>Vodkin Sergeiy</t>
  </si>
  <si>
    <t>Masters 50-59 (18.03.1963)/57</t>
  </si>
  <si>
    <t>Martynenko Alekseiy</t>
  </si>
  <si>
    <t>Open (05.08.1987)/33</t>
  </si>
  <si>
    <t>104,00</t>
  </si>
  <si>
    <t xml:space="preserve">Russia / Shelekhov </t>
  </si>
  <si>
    <t>7540,0</t>
  </si>
  <si>
    <t>5326,2558</t>
  </si>
  <si>
    <t>4900,0</t>
  </si>
  <si>
    <t>3562,7901</t>
  </si>
  <si>
    <t>5040,0</t>
  </si>
  <si>
    <t>2885,6520</t>
  </si>
  <si>
    <t>5763,0088</t>
  </si>
  <si>
    <t>4500,0</t>
  </si>
  <si>
    <t>3323,1302</t>
  </si>
  <si>
    <t>4230,0</t>
  </si>
  <si>
    <t>2832,3898</t>
  </si>
  <si>
    <t>VI World Championship
WRPF Multi-repetition Bench Press (1/2 own bw) Doping Tested
Russia / Moscow, December 17-20, 2020</t>
  </si>
  <si>
    <t>22,5</t>
  </si>
  <si>
    <t>Filippina Iuliya</t>
  </si>
  <si>
    <t>Open (26.02.1990)/30</t>
  </si>
  <si>
    <t xml:space="preserve">Filippin A. </t>
  </si>
  <si>
    <t>71,50</t>
  </si>
  <si>
    <t>Zakharko Arkadiiy</t>
  </si>
  <si>
    <t>Teens 13-19 (13.09.2001)/19</t>
  </si>
  <si>
    <t xml:space="preserve">Zakharko T. </t>
  </si>
  <si>
    <t>Pozdnev Stanislav</t>
  </si>
  <si>
    <t>Masters 60+ (22.08.1951)/69</t>
  </si>
  <si>
    <t xml:space="preserve">Russia / Perevoz </t>
  </si>
  <si>
    <t>Afonin Andreiy</t>
  </si>
  <si>
    <t>Teens 13-19 (28.01.2005)/15</t>
  </si>
  <si>
    <t>Borodin Anatoliiy</t>
  </si>
  <si>
    <t>Masters 60+ (25.06.1959)/61</t>
  </si>
  <si>
    <t>78,90</t>
  </si>
  <si>
    <t xml:space="preserve">Russia / Furmanov </t>
  </si>
  <si>
    <t>Garshin Aleksandr</t>
  </si>
  <si>
    <t>Masters 60+ (29.06.1954)/66</t>
  </si>
  <si>
    <t>Bocharov Vladimir</t>
  </si>
  <si>
    <t>Masters 60+ (07.10.1956)/64</t>
  </si>
  <si>
    <t>Datsiuk Vitaliiy</t>
  </si>
  <si>
    <t>Masters 40-49 (23.09.1980)/40</t>
  </si>
  <si>
    <t>115,10</t>
  </si>
  <si>
    <t xml:space="preserve">Russia / Armyansk </t>
  </si>
  <si>
    <t>VI World Championship
WRPF Multi-repetition Bench Press (1/2 own bw)
Russia / Moscow, December 17-20, 2020</t>
  </si>
  <si>
    <t>Skornyakova Anna</t>
  </si>
  <si>
    <t>Open (27.09.1991)/29</t>
  </si>
  <si>
    <t>58,00</t>
  </si>
  <si>
    <t>Kostin Egor</t>
  </si>
  <si>
    <t>Teens 13-19 (12.03.2006)/14</t>
  </si>
  <si>
    <t>59,20</t>
  </si>
  <si>
    <t>Kostin German</t>
  </si>
  <si>
    <t>Teens 13-19 (01.12.2003)/17</t>
  </si>
  <si>
    <t>60,60</t>
  </si>
  <si>
    <t>Efremov Daniil</t>
  </si>
  <si>
    <t>Teens 13-19 (15.03.2003)/17</t>
  </si>
  <si>
    <t>70,50</t>
  </si>
  <si>
    <t>Masters 60+ (08.08.1943)/77</t>
  </si>
  <si>
    <t>Aslanyan Erik</t>
  </si>
  <si>
    <t>Teens 13-19 (30.03.2004)/16</t>
  </si>
  <si>
    <t>Salov Pavel</t>
  </si>
  <si>
    <t>Masters 60+ (11.08.1954)/66</t>
  </si>
  <si>
    <t>78,20</t>
  </si>
  <si>
    <t xml:space="preserve"> Russia / Kitovo  </t>
  </si>
  <si>
    <t xml:space="preserve">Kovalev S. </t>
  </si>
  <si>
    <t>Tsybryaev Aleksandr</t>
  </si>
  <si>
    <t>Masters 60+ (18.06.1958)/62</t>
  </si>
  <si>
    <t>83,70</t>
  </si>
  <si>
    <t xml:space="preserve">Russia / Arzamas </t>
  </si>
  <si>
    <t>Bykov Nikolaiy</t>
  </si>
  <si>
    <t>Masters 60+ (29.08.1956)/64</t>
  </si>
  <si>
    <t>84,60</t>
  </si>
  <si>
    <t xml:space="preserve">Russia / Verkhnedneprovskiy </t>
  </si>
  <si>
    <t>Kolpakov Vladimir</t>
  </si>
  <si>
    <t>Masters 60+ (10.09.1955)/65</t>
  </si>
  <si>
    <t>Morozov Mikhail</t>
  </si>
  <si>
    <t>Teens 13-19 (24.08.2006)/14</t>
  </si>
  <si>
    <t>94,30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</si>
</sst>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0">
      <selection activeCell="F26" sqref="F26"/>
    </sheetView>
  </sheetViews>
  <sheetFormatPr defaultColWidth="9.125" defaultRowHeight="12.75"/>
  <cols>
    <col min="1" max="1" width="7.375" style="4" bestFit="1" customWidth="1"/>
    <col min="2" max="2" width="18.75390625" style="4" bestFit="1" customWidth="1"/>
    <col min="3" max="3" width="29.00390625" style="4" bestFit="1" customWidth="1"/>
    <col min="4" max="4" width="17.875" style="4" customWidth="1"/>
    <col min="5" max="5" width="10.375" style="4" bestFit="1" customWidth="1"/>
    <col min="6" max="6" width="26.375" style="4" customWidth="1"/>
    <col min="7" max="7" width="10.375" style="5" customWidth="1"/>
    <col min="8" max="8" width="10.375" style="26" customWidth="1"/>
    <col min="9" max="9" width="10.00390625" style="18" bestFit="1" customWidth="1"/>
    <col min="10" max="10" width="9.375" style="5" bestFit="1" customWidth="1"/>
    <col min="11" max="11" width="24.25390625" style="4" customWidth="1"/>
    <col min="12" max="16384" width="9.125" style="3" customWidth="1"/>
  </cols>
  <sheetData>
    <row r="1" spans="1:11" s="2" customFormat="1" ht="28.5" customHeight="1">
      <c r="A1" s="41" t="s">
        <v>190</v>
      </c>
      <c r="B1" s="42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5" t="s">
        <v>1</v>
      </c>
      <c r="C3" s="51" t="s">
        <v>2</v>
      </c>
      <c r="D3" s="51" t="s">
        <v>3</v>
      </c>
      <c r="E3" s="35" t="s">
        <v>178</v>
      </c>
      <c r="F3" s="35" t="s">
        <v>4</v>
      </c>
      <c r="G3" s="35" t="s">
        <v>191</v>
      </c>
      <c r="H3" s="35"/>
      <c r="I3" s="53" t="s">
        <v>192</v>
      </c>
      <c r="J3" s="35" t="s">
        <v>5</v>
      </c>
      <c r="K3" s="37" t="s">
        <v>6</v>
      </c>
    </row>
    <row r="4" spans="1:11" s="1" customFormat="1" ht="21" customHeight="1" thickBot="1">
      <c r="A4" s="50"/>
      <c r="B4" s="56"/>
      <c r="C4" s="36"/>
      <c r="D4" s="36"/>
      <c r="E4" s="36"/>
      <c r="F4" s="36"/>
      <c r="G4" s="33" t="s">
        <v>193</v>
      </c>
      <c r="H4" s="23" t="s">
        <v>194</v>
      </c>
      <c r="I4" s="54"/>
      <c r="J4" s="36"/>
      <c r="K4" s="38"/>
    </row>
    <row r="5" spans="1:8" ht="15">
      <c r="A5" s="39" t="s">
        <v>47</v>
      </c>
      <c r="B5" s="39"/>
      <c r="C5" s="40"/>
      <c r="D5" s="40"/>
      <c r="E5" s="40"/>
      <c r="F5" s="40"/>
      <c r="G5" s="40"/>
      <c r="H5" s="40"/>
    </row>
    <row r="6" spans="1:11" ht="12.75">
      <c r="A6" s="9" t="s">
        <v>12</v>
      </c>
      <c r="B6" s="8" t="s">
        <v>116</v>
      </c>
      <c r="C6" s="8" t="s">
        <v>195</v>
      </c>
      <c r="D6" s="8" t="s">
        <v>87</v>
      </c>
      <c r="E6" s="8" t="str">
        <f>"0,8555"</f>
        <v>0,8555</v>
      </c>
      <c r="F6" s="8" t="s">
        <v>88</v>
      </c>
      <c r="G6" s="9" t="s">
        <v>39</v>
      </c>
      <c r="H6" s="24">
        <v>23</v>
      </c>
      <c r="I6" s="19" t="str">
        <f>"1667,5"</f>
        <v>1667,5</v>
      </c>
      <c r="J6" s="9" t="str">
        <f>"1426,5462"</f>
        <v>1426,5462</v>
      </c>
      <c r="K6" s="8" t="s">
        <v>90</v>
      </c>
    </row>
    <row r="7" spans="1:11" ht="12.75">
      <c r="A7" s="13" t="s">
        <v>12</v>
      </c>
      <c r="B7" s="12" t="s">
        <v>116</v>
      </c>
      <c r="C7" s="12" t="s">
        <v>117</v>
      </c>
      <c r="D7" s="12" t="s">
        <v>87</v>
      </c>
      <c r="E7" s="12" t="str">
        <f>"0,8555"</f>
        <v>0,8555</v>
      </c>
      <c r="F7" s="12" t="s">
        <v>88</v>
      </c>
      <c r="G7" s="13" t="s">
        <v>39</v>
      </c>
      <c r="H7" s="25">
        <v>23</v>
      </c>
      <c r="I7" s="20" t="str">
        <f>"1667,5"</f>
        <v>1667,5</v>
      </c>
      <c r="J7" s="13" t="str">
        <f>"1426,5462"</f>
        <v>1426,5462</v>
      </c>
      <c r="K7" s="12" t="s">
        <v>90</v>
      </c>
    </row>
    <row r="8" ht="12.75">
      <c r="B8" s="4" t="s">
        <v>17</v>
      </c>
    </row>
    <row r="9" spans="1:8" ht="15">
      <c r="A9" s="52" t="s">
        <v>41</v>
      </c>
      <c r="B9" s="52"/>
      <c r="C9" s="52"/>
      <c r="D9" s="52"/>
      <c r="E9" s="52"/>
      <c r="F9" s="52"/>
      <c r="G9" s="52"/>
      <c r="H9" s="52"/>
    </row>
    <row r="10" spans="1:11" ht="12.75">
      <c r="A10" s="9" t="s">
        <v>12</v>
      </c>
      <c r="B10" s="8" t="s">
        <v>196</v>
      </c>
      <c r="C10" s="8" t="s">
        <v>197</v>
      </c>
      <c r="D10" s="8" t="s">
        <v>85</v>
      </c>
      <c r="E10" s="8" t="str">
        <f>"0,8383"</f>
        <v>0,8383</v>
      </c>
      <c r="F10" s="8" t="s">
        <v>84</v>
      </c>
      <c r="G10" s="9" t="s">
        <v>22</v>
      </c>
      <c r="H10" s="24">
        <v>32</v>
      </c>
      <c r="I10" s="19" t="str">
        <f>"1920,0"</f>
        <v>1920,0</v>
      </c>
      <c r="J10" s="9" t="str">
        <f>"1609,5360"</f>
        <v>1609,5360</v>
      </c>
      <c r="K10" s="8" t="s">
        <v>31</v>
      </c>
    </row>
    <row r="11" spans="1:11" ht="12.75">
      <c r="A11" s="13" t="s">
        <v>12</v>
      </c>
      <c r="B11" s="12" t="s">
        <v>196</v>
      </c>
      <c r="C11" s="12" t="s">
        <v>198</v>
      </c>
      <c r="D11" s="12" t="s">
        <v>85</v>
      </c>
      <c r="E11" s="12" t="str">
        <f>"0,8383"</f>
        <v>0,8383</v>
      </c>
      <c r="F11" s="12" t="s">
        <v>84</v>
      </c>
      <c r="G11" s="13" t="s">
        <v>22</v>
      </c>
      <c r="H11" s="25">
        <v>32</v>
      </c>
      <c r="I11" s="20" t="str">
        <f>"1920,0"</f>
        <v>1920,0</v>
      </c>
      <c r="J11" s="13" t="str">
        <f>"1818,7757"</f>
        <v>1818,7757</v>
      </c>
      <c r="K11" s="12" t="s">
        <v>31</v>
      </c>
    </row>
    <row r="12" ht="12.75">
      <c r="B12" s="4" t="s">
        <v>17</v>
      </c>
    </row>
    <row r="13" spans="1:8" ht="15">
      <c r="A13" s="52" t="s">
        <v>42</v>
      </c>
      <c r="B13" s="52"/>
      <c r="C13" s="52"/>
      <c r="D13" s="52"/>
      <c r="E13" s="52"/>
      <c r="F13" s="52"/>
      <c r="G13" s="52"/>
      <c r="H13" s="52"/>
    </row>
    <row r="14" spans="1:11" ht="12.75">
      <c r="A14" s="7" t="s">
        <v>12</v>
      </c>
      <c r="B14" s="6" t="s">
        <v>199</v>
      </c>
      <c r="C14" s="6" t="s">
        <v>200</v>
      </c>
      <c r="D14" s="6" t="s">
        <v>56</v>
      </c>
      <c r="E14" s="6" t="str">
        <f>"0,7484"</f>
        <v>0,7484</v>
      </c>
      <c r="F14" s="6" t="s">
        <v>32</v>
      </c>
      <c r="G14" s="7" t="s">
        <v>45</v>
      </c>
      <c r="H14" s="27">
        <v>37</v>
      </c>
      <c r="I14" s="22" t="str">
        <f>"2497,5"</f>
        <v>2497,5</v>
      </c>
      <c r="J14" s="7" t="str">
        <f>"1869,1289"</f>
        <v>1869,1289</v>
      </c>
      <c r="K14" s="6" t="s">
        <v>31</v>
      </c>
    </row>
    <row r="15" ht="12.75">
      <c r="B15" s="4" t="s">
        <v>17</v>
      </c>
    </row>
    <row r="16" spans="1:8" ht="15">
      <c r="A16" s="52" t="s">
        <v>47</v>
      </c>
      <c r="B16" s="52"/>
      <c r="C16" s="52"/>
      <c r="D16" s="52"/>
      <c r="E16" s="52"/>
      <c r="F16" s="52"/>
      <c r="G16" s="52"/>
      <c r="H16" s="52"/>
    </row>
    <row r="17" spans="1:11" ht="12.75">
      <c r="A17" s="9" t="s">
        <v>12</v>
      </c>
      <c r="B17" s="8" t="s">
        <v>201</v>
      </c>
      <c r="C17" s="8" t="s">
        <v>202</v>
      </c>
      <c r="D17" s="8" t="s">
        <v>203</v>
      </c>
      <c r="E17" s="8" t="str">
        <f>"0,7095"</f>
        <v>0,7095</v>
      </c>
      <c r="F17" s="8" t="s">
        <v>32</v>
      </c>
      <c r="G17" s="9" t="s">
        <v>39</v>
      </c>
      <c r="H17" s="24">
        <v>23</v>
      </c>
      <c r="I17" s="19" t="str">
        <f>"1667,5"</f>
        <v>1667,5</v>
      </c>
      <c r="J17" s="9" t="str">
        <f>"1183,0079"</f>
        <v>1183,0079</v>
      </c>
      <c r="K17" s="8" t="s">
        <v>31</v>
      </c>
    </row>
    <row r="18" spans="1:11" ht="12.75">
      <c r="A18" s="11" t="s">
        <v>12</v>
      </c>
      <c r="B18" s="10" t="s">
        <v>204</v>
      </c>
      <c r="C18" s="10" t="s">
        <v>205</v>
      </c>
      <c r="D18" s="10" t="s">
        <v>206</v>
      </c>
      <c r="E18" s="10" t="str">
        <f>"0,7086"</f>
        <v>0,7086</v>
      </c>
      <c r="F18" s="10" t="s">
        <v>120</v>
      </c>
      <c r="G18" s="11" t="s">
        <v>39</v>
      </c>
      <c r="H18" s="28">
        <v>53</v>
      </c>
      <c r="I18" s="21" t="str">
        <f>"3842,5"</f>
        <v>3842,5</v>
      </c>
      <c r="J18" s="11" t="str">
        <f>"2722,9876"</f>
        <v>2722,9876</v>
      </c>
      <c r="K18" s="10" t="s">
        <v>31</v>
      </c>
    </row>
    <row r="19" spans="1:11" ht="12.75">
      <c r="A19" s="13" t="s">
        <v>12</v>
      </c>
      <c r="B19" s="12" t="s">
        <v>122</v>
      </c>
      <c r="C19" s="12" t="s">
        <v>207</v>
      </c>
      <c r="D19" s="12" t="s">
        <v>87</v>
      </c>
      <c r="E19" s="12" t="str">
        <f>"0,7064"</f>
        <v>0,7064</v>
      </c>
      <c r="F19" s="12" t="s">
        <v>123</v>
      </c>
      <c r="G19" s="13" t="s">
        <v>39</v>
      </c>
      <c r="H19" s="25">
        <v>18</v>
      </c>
      <c r="I19" s="20" t="str">
        <f>"1305,0"</f>
        <v>1305,0</v>
      </c>
      <c r="J19" s="13" t="str">
        <f>"1392,9183"</f>
        <v>1392,9183</v>
      </c>
      <c r="K19" s="12" t="s">
        <v>124</v>
      </c>
    </row>
    <row r="20" ht="12.75">
      <c r="B20" s="4" t="s">
        <v>17</v>
      </c>
    </row>
    <row r="21" spans="1:8" ht="15">
      <c r="A21" s="52" t="s">
        <v>52</v>
      </c>
      <c r="B21" s="52"/>
      <c r="C21" s="52"/>
      <c r="D21" s="52"/>
      <c r="E21" s="52"/>
      <c r="F21" s="52"/>
      <c r="G21" s="52"/>
      <c r="H21" s="52"/>
    </row>
    <row r="22" spans="1:11" ht="12.75">
      <c r="A22" s="9" t="s">
        <v>12</v>
      </c>
      <c r="B22" s="8" t="s">
        <v>126</v>
      </c>
      <c r="C22" s="8" t="s">
        <v>127</v>
      </c>
      <c r="D22" s="8" t="s">
        <v>128</v>
      </c>
      <c r="E22" s="8" t="str">
        <f>"0,6838"</f>
        <v>0,6838</v>
      </c>
      <c r="F22" s="8" t="s">
        <v>57</v>
      </c>
      <c r="G22" s="9" t="s">
        <v>18</v>
      </c>
      <c r="H22" s="24">
        <v>29</v>
      </c>
      <c r="I22" s="19" t="str">
        <f>"2247,5"</f>
        <v>2247,5</v>
      </c>
      <c r="J22" s="9" t="str">
        <f>"1948,8562"</f>
        <v>1948,8562</v>
      </c>
      <c r="K22" s="8" t="s">
        <v>129</v>
      </c>
    </row>
    <row r="23" spans="1:11" ht="12.75">
      <c r="A23" s="13" t="s">
        <v>12</v>
      </c>
      <c r="B23" s="12" t="s">
        <v>130</v>
      </c>
      <c r="C23" s="12" t="s">
        <v>208</v>
      </c>
      <c r="D23" s="12" t="s">
        <v>59</v>
      </c>
      <c r="E23" s="12" t="str">
        <f>"0,6535"</f>
        <v>0,6535</v>
      </c>
      <c r="F23" s="12" t="s">
        <v>61</v>
      </c>
      <c r="G23" s="13" t="s">
        <v>13</v>
      </c>
      <c r="H23" s="25">
        <v>15</v>
      </c>
      <c r="I23" s="20" t="str">
        <f>"1237,5"</f>
        <v>1237,5</v>
      </c>
      <c r="J23" s="13" t="str">
        <f>"1517,0169"</f>
        <v>1517,0169</v>
      </c>
      <c r="K23" s="12" t="s">
        <v>31</v>
      </c>
    </row>
    <row r="24" ht="12.75">
      <c r="B24" s="4" t="s">
        <v>17</v>
      </c>
    </row>
    <row r="25" spans="1:8" ht="15">
      <c r="A25" s="52" t="s">
        <v>53</v>
      </c>
      <c r="B25" s="52"/>
      <c r="C25" s="52"/>
      <c r="D25" s="52"/>
      <c r="E25" s="52"/>
      <c r="F25" s="52"/>
      <c r="G25" s="52"/>
      <c r="H25" s="52"/>
    </row>
    <row r="26" spans="1:11" ht="12.75">
      <c r="A26" s="9" t="s">
        <v>12</v>
      </c>
      <c r="B26" s="8" t="s">
        <v>209</v>
      </c>
      <c r="C26" s="8" t="s">
        <v>210</v>
      </c>
      <c r="D26" s="8" t="s">
        <v>177</v>
      </c>
      <c r="E26" s="8" t="str">
        <f>"0,6421"</f>
        <v>0,6421</v>
      </c>
      <c r="F26" s="29" t="s">
        <v>211</v>
      </c>
      <c r="G26" s="9" t="s">
        <v>14</v>
      </c>
      <c r="H26" s="24">
        <v>45</v>
      </c>
      <c r="I26" s="19" t="str">
        <f>"3825,0"</f>
        <v>3825,0</v>
      </c>
      <c r="J26" s="9" t="str">
        <f>"2456,0324"</f>
        <v>2456,0324</v>
      </c>
      <c r="K26" s="8" t="s">
        <v>212</v>
      </c>
    </row>
    <row r="27" spans="1:11" ht="12.75">
      <c r="A27" s="11" t="s">
        <v>23</v>
      </c>
      <c r="B27" s="10" t="s">
        <v>131</v>
      </c>
      <c r="C27" s="10" t="s">
        <v>132</v>
      </c>
      <c r="D27" s="10" t="s">
        <v>133</v>
      </c>
      <c r="E27" s="10" t="str">
        <f>"0,6177"</f>
        <v>0,6177</v>
      </c>
      <c r="F27" s="10" t="s">
        <v>32</v>
      </c>
      <c r="G27" s="11" t="s">
        <v>24</v>
      </c>
      <c r="H27" s="28">
        <v>29</v>
      </c>
      <c r="I27" s="21" t="str">
        <f>"2610,0"</f>
        <v>2610,0</v>
      </c>
      <c r="J27" s="11" t="str">
        <f>"1612,1969"</f>
        <v>1612,1969</v>
      </c>
      <c r="K27" s="10" t="s">
        <v>134</v>
      </c>
    </row>
    <row r="28" spans="1:11" ht="12.75">
      <c r="A28" s="11" t="s">
        <v>27</v>
      </c>
      <c r="B28" s="10" t="s">
        <v>135</v>
      </c>
      <c r="C28" s="10" t="s">
        <v>136</v>
      </c>
      <c r="D28" s="10" t="s">
        <v>137</v>
      </c>
      <c r="E28" s="10" t="str">
        <f>"0,6263"</f>
        <v>0,6263</v>
      </c>
      <c r="F28" s="10" t="s">
        <v>57</v>
      </c>
      <c r="G28" s="11" t="s">
        <v>11</v>
      </c>
      <c r="H28" s="28">
        <v>20</v>
      </c>
      <c r="I28" s="21" t="str">
        <f>"1750,0"</f>
        <v>1750,0</v>
      </c>
      <c r="J28" s="11" t="str">
        <f>"1096,1125"</f>
        <v>1096,1125</v>
      </c>
      <c r="K28" s="10" t="s">
        <v>31</v>
      </c>
    </row>
    <row r="29" spans="1:11" ht="12.75">
      <c r="A29" s="11" t="s">
        <v>12</v>
      </c>
      <c r="B29" s="10" t="s">
        <v>138</v>
      </c>
      <c r="C29" s="10" t="s">
        <v>139</v>
      </c>
      <c r="D29" s="10" t="s">
        <v>140</v>
      </c>
      <c r="E29" s="10" t="str">
        <f>"0,6149"</f>
        <v>0,6149</v>
      </c>
      <c r="F29" s="10" t="s">
        <v>125</v>
      </c>
      <c r="G29" s="11" t="s">
        <v>24</v>
      </c>
      <c r="H29" s="28">
        <v>28</v>
      </c>
      <c r="I29" s="21" t="str">
        <f>"2520,0"</f>
        <v>2520,0</v>
      </c>
      <c r="J29" s="11" t="str">
        <f>"1549,5480"</f>
        <v>1549,5480</v>
      </c>
      <c r="K29" s="10" t="s">
        <v>31</v>
      </c>
    </row>
    <row r="30" spans="1:11" ht="12.75">
      <c r="A30" s="13" t="s">
        <v>12</v>
      </c>
      <c r="B30" s="12" t="s">
        <v>213</v>
      </c>
      <c r="C30" s="12" t="s">
        <v>214</v>
      </c>
      <c r="D30" s="12" t="s">
        <v>98</v>
      </c>
      <c r="E30" s="12" t="str">
        <f>"0,6153"</f>
        <v>0,6153</v>
      </c>
      <c r="F30" s="12" t="s">
        <v>32</v>
      </c>
      <c r="G30" s="13" t="s">
        <v>24</v>
      </c>
      <c r="H30" s="25">
        <v>11</v>
      </c>
      <c r="I30" s="20" t="str">
        <f>"990,0"</f>
        <v>990,0</v>
      </c>
      <c r="J30" s="13" t="str">
        <f>"865,5979"</f>
        <v>865,5979</v>
      </c>
      <c r="K30" s="12" t="s">
        <v>31</v>
      </c>
    </row>
    <row r="31" ht="12.75">
      <c r="B31" s="4" t="s">
        <v>17</v>
      </c>
    </row>
    <row r="32" spans="1:8" ht="15">
      <c r="A32" s="52" t="s">
        <v>62</v>
      </c>
      <c r="B32" s="52"/>
      <c r="C32" s="52"/>
      <c r="D32" s="52"/>
      <c r="E32" s="52"/>
      <c r="F32" s="52"/>
      <c r="G32" s="52"/>
      <c r="H32" s="52"/>
    </row>
    <row r="33" spans="1:11" ht="12.75">
      <c r="A33" s="9" t="s">
        <v>12</v>
      </c>
      <c r="B33" s="8" t="s">
        <v>215</v>
      </c>
      <c r="C33" s="8" t="s">
        <v>216</v>
      </c>
      <c r="D33" s="8" t="s">
        <v>217</v>
      </c>
      <c r="E33" s="8" t="str">
        <f>"0,6029"</f>
        <v>0,6029</v>
      </c>
      <c r="F33" s="8" t="s">
        <v>54</v>
      </c>
      <c r="G33" s="9" t="s">
        <v>15</v>
      </c>
      <c r="H33" s="24">
        <v>31</v>
      </c>
      <c r="I33" s="19" t="str">
        <f>"2867,5"</f>
        <v>2867,5</v>
      </c>
      <c r="J33" s="9" t="str">
        <f>"1728,9591"</f>
        <v>1728,9591</v>
      </c>
      <c r="K33" s="8" t="s">
        <v>151</v>
      </c>
    </row>
    <row r="34" spans="1:11" ht="12.75">
      <c r="A34" s="11" t="s">
        <v>12</v>
      </c>
      <c r="B34" s="10" t="s">
        <v>147</v>
      </c>
      <c r="C34" s="10" t="s">
        <v>148</v>
      </c>
      <c r="D34" s="10" t="s">
        <v>99</v>
      </c>
      <c r="E34" s="10" t="str">
        <f>"0,6033"</f>
        <v>0,6033</v>
      </c>
      <c r="F34" s="10" t="s">
        <v>32</v>
      </c>
      <c r="G34" s="11" t="s">
        <v>15</v>
      </c>
      <c r="H34" s="28">
        <v>22</v>
      </c>
      <c r="I34" s="21" t="str">
        <f>"2035,0"</f>
        <v>2035,0</v>
      </c>
      <c r="J34" s="11" t="str">
        <f>"1556,7432"</f>
        <v>1556,7432</v>
      </c>
      <c r="K34" s="10" t="s">
        <v>31</v>
      </c>
    </row>
    <row r="35" spans="1:11" ht="12.75">
      <c r="A35" s="11" t="s">
        <v>23</v>
      </c>
      <c r="B35" s="10" t="s">
        <v>143</v>
      </c>
      <c r="C35" s="10" t="s">
        <v>144</v>
      </c>
      <c r="D35" s="10" t="s">
        <v>145</v>
      </c>
      <c r="E35" s="10" t="str">
        <f>"0,5925"</f>
        <v>0,5925</v>
      </c>
      <c r="F35" s="10" t="s">
        <v>97</v>
      </c>
      <c r="G35" s="11" t="s">
        <v>16</v>
      </c>
      <c r="H35" s="28">
        <v>15</v>
      </c>
      <c r="I35" s="21" t="str">
        <f>"1462,5"</f>
        <v>1462,5</v>
      </c>
      <c r="J35" s="11" t="str">
        <f>"1098,8543"</f>
        <v>1098,8543</v>
      </c>
      <c r="K35" s="10" t="s">
        <v>146</v>
      </c>
    </row>
    <row r="36" spans="1:11" ht="12.75">
      <c r="A36" s="13" t="s">
        <v>12</v>
      </c>
      <c r="B36" s="12" t="s">
        <v>149</v>
      </c>
      <c r="C36" s="12" t="s">
        <v>218</v>
      </c>
      <c r="D36" s="12" t="s">
        <v>141</v>
      </c>
      <c r="E36" s="12" t="str">
        <f>"0,6064"</f>
        <v>0,6064</v>
      </c>
      <c r="F36" s="12" t="s">
        <v>150</v>
      </c>
      <c r="G36" s="13" t="s">
        <v>15</v>
      </c>
      <c r="H36" s="25">
        <v>10</v>
      </c>
      <c r="I36" s="20" t="str">
        <f>"925,0"</f>
        <v>925,0</v>
      </c>
      <c r="J36" s="13" t="str">
        <f>"813,3340"</f>
        <v>813,3340</v>
      </c>
      <c r="K36" s="12" t="s">
        <v>31</v>
      </c>
    </row>
    <row r="37" ht="12.75">
      <c r="B37" s="4" t="s">
        <v>17</v>
      </c>
    </row>
    <row r="38" spans="1:8" ht="15">
      <c r="A38" s="52" t="s">
        <v>66</v>
      </c>
      <c r="B38" s="52"/>
      <c r="C38" s="52"/>
      <c r="D38" s="52"/>
      <c r="E38" s="52"/>
      <c r="F38" s="52"/>
      <c r="G38" s="52"/>
      <c r="H38" s="52"/>
    </row>
    <row r="39" spans="1:11" ht="12.75">
      <c r="A39" s="9" t="s">
        <v>12</v>
      </c>
      <c r="B39" s="8" t="s">
        <v>219</v>
      </c>
      <c r="C39" s="8" t="s">
        <v>220</v>
      </c>
      <c r="D39" s="8" t="s">
        <v>221</v>
      </c>
      <c r="E39" s="8" t="str">
        <f>"0,5746"</f>
        <v>0,5746</v>
      </c>
      <c r="F39" s="8" t="s">
        <v>86</v>
      </c>
      <c r="G39" s="9" t="s">
        <v>28</v>
      </c>
      <c r="H39" s="24">
        <v>32</v>
      </c>
      <c r="I39" s="19" t="str">
        <f>"3360,0"</f>
        <v>3360,0</v>
      </c>
      <c r="J39" s="9" t="str">
        <f>"1930,6559"</f>
        <v>1930,6559</v>
      </c>
      <c r="K39" s="8" t="s">
        <v>222</v>
      </c>
    </row>
    <row r="40" spans="1:11" ht="12.75">
      <c r="A40" s="11" t="s">
        <v>12</v>
      </c>
      <c r="B40" s="10" t="s">
        <v>180</v>
      </c>
      <c r="C40" s="10" t="s">
        <v>181</v>
      </c>
      <c r="D40" s="10" t="s">
        <v>173</v>
      </c>
      <c r="E40" s="10" t="str">
        <f>"0,5645"</f>
        <v>0,5645</v>
      </c>
      <c r="F40" s="10" t="s">
        <v>182</v>
      </c>
      <c r="G40" s="11" t="s">
        <v>29</v>
      </c>
      <c r="H40" s="28">
        <v>8</v>
      </c>
      <c r="I40" s="21" t="str">
        <f>"880,0"</f>
        <v>880,0</v>
      </c>
      <c r="J40" s="11" t="str">
        <f>"641,3739"</f>
        <v>641,3739</v>
      </c>
      <c r="K40" s="10" t="s">
        <v>31</v>
      </c>
    </row>
    <row r="41" spans="1:11" ht="12.75">
      <c r="A41" s="13" t="s">
        <v>12</v>
      </c>
      <c r="B41" s="12" t="s">
        <v>152</v>
      </c>
      <c r="C41" s="12" t="s">
        <v>223</v>
      </c>
      <c r="D41" s="12" t="s">
        <v>153</v>
      </c>
      <c r="E41" s="12" t="str">
        <f>"0,5735"</f>
        <v>0,5735</v>
      </c>
      <c r="F41" s="12" t="s">
        <v>61</v>
      </c>
      <c r="G41" s="13" t="s">
        <v>28</v>
      </c>
      <c r="H41" s="25">
        <v>15</v>
      </c>
      <c r="I41" s="20" t="str">
        <f>"1575,0"</f>
        <v>1575,0</v>
      </c>
      <c r="J41" s="13" t="str">
        <f>"1364,9486"</f>
        <v>1364,9486</v>
      </c>
      <c r="K41" s="12" t="s">
        <v>31</v>
      </c>
    </row>
    <row r="42" ht="12.75">
      <c r="B42" s="4" t="s">
        <v>17</v>
      </c>
    </row>
    <row r="43" spans="1:8" ht="15">
      <c r="A43" s="52" t="s">
        <v>67</v>
      </c>
      <c r="B43" s="52"/>
      <c r="C43" s="52"/>
      <c r="D43" s="52"/>
      <c r="E43" s="52"/>
      <c r="F43" s="52"/>
      <c r="G43" s="52"/>
      <c r="H43" s="52"/>
    </row>
    <row r="44" spans="1:11" ht="12.75">
      <c r="A44" s="9" t="s">
        <v>12</v>
      </c>
      <c r="B44" s="8" t="s">
        <v>154</v>
      </c>
      <c r="C44" s="8" t="s">
        <v>155</v>
      </c>
      <c r="D44" s="8" t="s">
        <v>156</v>
      </c>
      <c r="E44" s="8" t="str">
        <f>"0,5604"</f>
        <v>0,5604</v>
      </c>
      <c r="F44" s="8" t="s">
        <v>54</v>
      </c>
      <c r="G44" s="9" t="s">
        <v>30</v>
      </c>
      <c r="H44" s="24">
        <v>26</v>
      </c>
      <c r="I44" s="19" t="str">
        <f>"2925,0"</f>
        <v>2925,0</v>
      </c>
      <c r="J44" s="9" t="str">
        <f>"1639,0238"</f>
        <v>1639,0238</v>
      </c>
      <c r="K44" s="8" t="s">
        <v>55</v>
      </c>
    </row>
    <row r="45" spans="1:11" ht="12.75">
      <c r="A45" s="13" t="s">
        <v>23</v>
      </c>
      <c r="B45" s="12" t="s">
        <v>157</v>
      </c>
      <c r="C45" s="12" t="s">
        <v>224</v>
      </c>
      <c r="D45" s="12" t="s">
        <v>106</v>
      </c>
      <c r="E45" s="12" t="str">
        <f>"0,5454"</f>
        <v>0,5454</v>
      </c>
      <c r="F45" s="12" t="s">
        <v>89</v>
      </c>
      <c r="G45" s="13" t="s">
        <v>35</v>
      </c>
      <c r="H45" s="25">
        <v>18</v>
      </c>
      <c r="I45" s="20" t="str">
        <f>"2250,0"</f>
        <v>2250,0</v>
      </c>
      <c r="J45" s="13" t="str">
        <f>"1227,1501"</f>
        <v>1227,1501</v>
      </c>
      <c r="K45" s="12" t="s">
        <v>158</v>
      </c>
    </row>
    <row r="46" ht="12.75">
      <c r="B46" s="4" t="s">
        <v>17</v>
      </c>
    </row>
    <row r="47" spans="1:8" ht="15">
      <c r="A47" s="52" t="s">
        <v>68</v>
      </c>
      <c r="B47" s="52"/>
      <c r="C47" s="52"/>
      <c r="D47" s="52"/>
      <c r="E47" s="52"/>
      <c r="F47" s="52"/>
      <c r="G47" s="52"/>
      <c r="H47" s="52"/>
    </row>
    <row r="48" spans="1:11" ht="12.75">
      <c r="A48" s="9" t="s">
        <v>8</v>
      </c>
      <c r="B48" s="8" t="s">
        <v>225</v>
      </c>
      <c r="C48" s="8" t="s">
        <v>226</v>
      </c>
      <c r="D48" s="8" t="s">
        <v>227</v>
      </c>
      <c r="E48" s="8" t="str">
        <f>"0,5380"</f>
        <v>0,5380</v>
      </c>
      <c r="F48" s="8" t="s">
        <v>32</v>
      </c>
      <c r="G48" s="9" t="s">
        <v>26</v>
      </c>
      <c r="H48" s="24">
        <v>3</v>
      </c>
      <c r="I48" s="19">
        <v>0</v>
      </c>
      <c r="J48" s="9" t="str">
        <f>"0,0000"</f>
        <v>0,0000</v>
      </c>
      <c r="K48" s="8" t="s">
        <v>119</v>
      </c>
    </row>
    <row r="49" spans="1:11" ht="12.75">
      <c r="A49" s="13" t="s">
        <v>8</v>
      </c>
      <c r="B49" s="12" t="s">
        <v>225</v>
      </c>
      <c r="C49" s="12" t="s">
        <v>228</v>
      </c>
      <c r="D49" s="12" t="s">
        <v>227</v>
      </c>
      <c r="E49" s="12" t="str">
        <f>"0,5380"</f>
        <v>0,5380</v>
      </c>
      <c r="F49" s="12" t="s">
        <v>32</v>
      </c>
      <c r="G49" s="13" t="s">
        <v>26</v>
      </c>
      <c r="H49" s="25">
        <v>3</v>
      </c>
      <c r="I49" s="20">
        <v>0</v>
      </c>
      <c r="J49" s="13" t="str">
        <f>"0,0000"</f>
        <v>0,0000</v>
      </c>
      <c r="K49" s="12" t="s">
        <v>119</v>
      </c>
    </row>
    <row r="50" ht="12.75">
      <c r="B50" s="4" t="s">
        <v>17</v>
      </c>
    </row>
    <row r="51" ht="12.75">
      <c r="B51" s="4" t="s">
        <v>17</v>
      </c>
    </row>
    <row r="52" ht="12.75">
      <c r="B52" s="4" t="s">
        <v>17</v>
      </c>
    </row>
    <row r="53" spans="2:3" ht="18">
      <c r="B53" s="14" t="s">
        <v>69</v>
      </c>
      <c r="C53" s="14"/>
    </row>
    <row r="54" spans="2:3" ht="15">
      <c r="B54" s="34" t="s">
        <v>74</v>
      </c>
      <c r="C54" s="34"/>
    </row>
    <row r="55" spans="2:3" ht="14.25">
      <c r="B55" s="15"/>
      <c r="C55" s="16" t="s">
        <v>70</v>
      </c>
    </row>
    <row r="56" spans="2:6" ht="15">
      <c r="B56" s="17" t="s">
        <v>71</v>
      </c>
      <c r="C56" s="17" t="s">
        <v>72</v>
      </c>
      <c r="D56" s="17" t="s">
        <v>73</v>
      </c>
      <c r="E56" s="17" t="s">
        <v>192</v>
      </c>
      <c r="F56" s="17" t="s">
        <v>183</v>
      </c>
    </row>
    <row r="57" spans="2:6" ht="12.75">
      <c r="B57" s="4" t="s">
        <v>204</v>
      </c>
      <c r="C57" s="4" t="s">
        <v>70</v>
      </c>
      <c r="D57" s="5" t="s">
        <v>76</v>
      </c>
      <c r="E57" s="5" t="s">
        <v>229</v>
      </c>
      <c r="F57" s="5" t="s">
        <v>230</v>
      </c>
    </row>
    <row r="58" spans="2:6" ht="12.75">
      <c r="B58" s="4" t="s">
        <v>209</v>
      </c>
      <c r="C58" s="4" t="s">
        <v>70</v>
      </c>
      <c r="D58" s="5" t="s">
        <v>77</v>
      </c>
      <c r="E58" s="5" t="s">
        <v>231</v>
      </c>
      <c r="F58" s="5" t="s">
        <v>232</v>
      </c>
    </row>
    <row r="59" spans="2:6" ht="12.75">
      <c r="B59" s="4" t="s">
        <v>219</v>
      </c>
      <c r="C59" s="4" t="s">
        <v>70</v>
      </c>
      <c r="D59" s="5" t="s">
        <v>96</v>
      </c>
      <c r="E59" s="5" t="s">
        <v>233</v>
      </c>
      <c r="F59" s="5" t="s">
        <v>234</v>
      </c>
    </row>
    <row r="61" spans="2:3" ht="14.25">
      <c r="B61" s="15"/>
      <c r="C61" s="16" t="s">
        <v>78</v>
      </c>
    </row>
    <row r="62" spans="2:6" ht="15">
      <c r="B62" s="17" t="s">
        <v>71</v>
      </c>
      <c r="C62" s="17" t="s">
        <v>72</v>
      </c>
      <c r="D62" s="17" t="s">
        <v>73</v>
      </c>
      <c r="E62" s="17" t="s">
        <v>192</v>
      </c>
      <c r="F62" s="17" t="s">
        <v>183</v>
      </c>
    </row>
    <row r="63" spans="2:6" ht="12.75">
      <c r="B63" s="4" t="s">
        <v>126</v>
      </c>
      <c r="C63" s="4" t="s">
        <v>79</v>
      </c>
      <c r="D63" s="5" t="s">
        <v>75</v>
      </c>
      <c r="E63" s="5" t="s">
        <v>235</v>
      </c>
      <c r="F63" s="5" t="s">
        <v>236</v>
      </c>
    </row>
    <row r="64" spans="2:6" ht="12.75">
      <c r="B64" s="4" t="s">
        <v>196</v>
      </c>
      <c r="C64" s="4" t="s">
        <v>79</v>
      </c>
      <c r="D64" s="5" t="s">
        <v>95</v>
      </c>
      <c r="E64" s="5" t="s">
        <v>237</v>
      </c>
      <c r="F64" s="5" t="s">
        <v>238</v>
      </c>
    </row>
    <row r="65" spans="2:6" ht="12.75">
      <c r="B65" s="4" t="s">
        <v>147</v>
      </c>
      <c r="C65" s="4" t="s">
        <v>79</v>
      </c>
      <c r="D65" s="5" t="s">
        <v>80</v>
      </c>
      <c r="E65" s="5" t="s">
        <v>239</v>
      </c>
      <c r="F65" s="5" t="s">
        <v>240</v>
      </c>
    </row>
    <row r="66" ht="12.75">
      <c r="B66" s="4" t="s">
        <v>17</v>
      </c>
    </row>
  </sheetData>
  <sheetProtection/>
  <mergeCells count="21">
    <mergeCell ref="A38:H38"/>
    <mergeCell ref="A43:H43"/>
    <mergeCell ref="A47:H47"/>
    <mergeCell ref="B3:B4"/>
    <mergeCell ref="A9:H9"/>
    <mergeCell ref="A13:H13"/>
    <mergeCell ref="A16:H16"/>
    <mergeCell ref="A21:H21"/>
    <mergeCell ref="A25:H25"/>
    <mergeCell ref="A32:H32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3">
      <selection activeCell="G45" sqref="G45"/>
    </sheetView>
  </sheetViews>
  <sheetFormatPr defaultColWidth="9.125" defaultRowHeight="12.75"/>
  <cols>
    <col min="1" max="1" width="7.375" style="4" bestFit="1" customWidth="1"/>
    <col min="2" max="2" width="20.375" style="4" bestFit="1" customWidth="1"/>
    <col min="3" max="3" width="28.375" style="4" bestFit="1" customWidth="1"/>
    <col min="4" max="4" width="13.875" style="4" bestFit="1" customWidth="1"/>
    <col min="5" max="5" width="10.375" style="4" bestFit="1" customWidth="1"/>
    <col min="6" max="6" width="29.125" style="4" customWidth="1"/>
    <col min="7" max="7" width="10.875" style="5" customWidth="1"/>
    <col min="8" max="8" width="10.375" style="26" customWidth="1"/>
    <col min="9" max="9" width="10.00390625" style="5" bestFit="1" customWidth="1"/>
    <col min="10" max="10" width="9.375" style="5" bestFit="1" customWidth="1"/>
    <col min="11" max="11" width="24.25390625" style="4" customWidth="1"/>
    <col min="12" max="16384" width="9.125" style="3" customWidth="1"/>
  </cols>
  <sheetData>
    <row r="1" spans="1:11" s="2" customFormat="1" ht="28.5" customHeight="1">
      <c r="A1" s="41" t="s">
        <v>241</v>
      </c>
      <c r="B1" s="42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5" t="s">
        <v>1</v>
      </c>
      <c r="C3" s="51" t="s">
        <v>2</v>
      </c>
      <c r="D3" s="51" t="s">
        <v>3</v>
      </c>
      <c r="E3" s="35" t="s">
        <v>178</v>
      </c>
      <c r="F3" s="35" t="s">
        <v>4</v>
      </c>
      <c r="G3" s="35" t="s">
        <v>191</v>
      </c>
      <c r="H3" s="35"/>
      <c r="I3" s="35" t="s">
        <v>192</v>
      </c>
      <c r="J3" s="35" t="s">
        <v>5</v>
      </c>
      <c r="K3" s="37" t="s">
        <v>6</v>
      </c>
    </row>
    <row r="4" spans="1:11" s="1" customFormat="1" ht="21" customHeight="1" thickBot="1">
      <c r="A4" s="50"/>
      <c r="B4" s="56"/>
      <c r="C4" s="36"/>
      <c r="D4" s="36"/>
      <c r="E4" s="36"/>
      <c r="F4" s="36"/>
      <c r="G4" s="33" t="s">
        <v>193</v>
      </c>
      <c r="H4" s="23" t="s">
        <v>194</v>
      </c>
      <c r="I4" s="36"/>
      <c r="J4" s="36"/>
      <c r="K4" s="38"/>
    </row>
    <row r="5" spans="1:8" ht="15">
      <c r="A5" s="39" t="s">
        <v>47</v>
      </c>
      <c r="B5" s="39"/>
      <c r="C5" s="40"/>
      <c r="D5" s="40"/>
      <c r="E5" s="40"/>
      <c r="F5" s="40"/>
      <c r="G5" s="40"/>
      <c r="H5" s="40"/>
    </row>
    <row r="6" spans="1:11" ht="12.75">
      <c r="A6" s="7" t="s">
        <v>12</v>
      </c>
      <c r="B6" s="6" t="s">
        <v>242</v>
      </c>
      <c r="C6" s="6" t="s">
        <v>243</v>
      </c>
      <c r="D6" s="6" t="s">
        <v>58</v>
      </c>
      <c r="E6" s="6" t="str">
        <f>"0,8414"</f>
        <v>0,8414</v>
      </c>
      <c r="F6" s="6" t="s">
        <v>32</v>
      </c>
      <c r="G6" s="7" t="s">
        <v>21</v>
      </c>
      <c r="H6" s="27">
        <v>19</v>
      </c>
      <c r="I6" s="7" t="str">
        <f>"1425,0"</f>
        <v>1425,0</v>
      </c>
      <c r="J6" s="7" t="str">
        <f>"1222,9749"</f>
        <v>1222,9749</v>
      </c>
      <c r="K6" s="6" t="s">
        <v>31</v>
      </c>
    </row>
    <row r="7" ht="12.75">
      <c r="B7" s="4" t="s">
        <v>17</v>
      </c>
    </row>
    <row r="8" spans="1:8" ht="15">
      <c r="A8" s="52" t="s">
        <v>47</v>
      </c>
      <c r="B8" s="52"/>
      <c r="C8" s="52"/>
      <c r="D8" s="52"/>
      <c r="E8" s="52"/>
      <c r="F8" s="52"/>
      <c r="G8" s="52"/>
      <c r="H8" s="52"/>
    </row>
    <row r="9" spans="1:11" ht="12.75">
      <c r="A9" s="9" t="s">
        <v>12</v>
      </c>
      <c r="B9" s="8" t="s">
        <v>244</v>
      </c>
      <c r="C9" s="8" t="s">
        <v>245</v>
      </c>
      <c r="D9" s="8" t="s">
        <v>87</v>
      </c>
      <c r="E9" s="8" t="str">
        <f>"0,7064"</f>
        <v>0,7064</v>
      </c>
      <c r="F9" s="8" t="s">
        <v>185</v>
      </c>
      <c r="G9" s="9" t="s">
        <v>39</v>
      </c>
      <c r="H9" s="24">
        <v>104</v>
      </c>
      <c r="I9" s="9" t="str">
        <f>"7540,0"</f>
        <v>7540,0</v>
      </c>
      <c r="J9" s="9" t="str">
        <f>"5326,2558"</f>
        <v>5326,2558</v>
      </c>
      <c r="K9" s="8" t="s">
        <v>186</v>
      </c>
    </row>
    <row r="10" spans="1:11" ht="12.75">
      <c r="A10" s="11" t="s">
        <v>23</v>
      </c>
      <c r="B10" s="10" t="s">
        <v>246</v>
      </c>
      <c r="C10" s="10" t="s">
        <v>247</v>
      </c>
      <c r="D10" s="10" t="s">
        <v>248</v>
      </c>
      <c r="E10" s="10" t="str">
        <f>"0,7271"</f>
        <v>0,7271</v>
      </c>
      <c r="F10" s="10" t="s">
        <v>46</v>
      </c>
      <c r="G10" s="11" t="s">
        <v>37</v>
      </c>
      <c r="H10" s="28">
        <v>70</v>
      </c>
      <c r="I10" s="11" t="str">
        <f>"4900,0"</f>
        <v>4900,0</v>
      </c>
      <c r="J10" s="11" t="str">
        <f>"3562,7901"</f>
        <v>3562,7901</v>
      </c>
      <c r="K10" s="10" t="s">
        <v>249</v>
      </c>
    </row>
    <row r="11" spans="1:11" ht="12.75">
      <c r="A11" s="11" t="s">
        <v>27</v>
      </c>
      <c r="B11" s="10" t="s">
        <v>250</v>
      </c>
      <c r="C11" s="10" t="s">
        <v>251</v>
      </c>
      <c r="D11" s="10" t="s">
        <v>105</v>
      </c>
      <c r="E11" s="10" t="str">
        <f>"0,7125"</f>
        <v>0,7125</v>
      </c>
      <c r="F11" s="10" t="s">
        <v>162</v>
      </c>
      <c r="G11" s="11" t="s">
        <v>39</v>
      </c>
      <c r="H11" s="28">
        <v>41</v>
      </c>
      <c r="I11" s="11" t="str">
        <f>"2972,5"</f>
        <v>2972,5</v>
      </c>
      <c r="J11" s="11" t="str">
        <f>"2117,9062"</f>
        <v>2117,9062</v>
      </c>
      <c r="K11" s="10" t="s">
        <v>31</v>
      </c>
    </row>
    <row r="12" spans="1:11" ht="12.75">
      <c r="A12" s="11" t="s">
        <v>12</v>
      </c>
      <c r="B12" s="10" t="s">
        <v>244</v>
      </c>
      <c r="C12" s="10" t="s">
        <v>252</v>
      </c>
      <c r="D12" s="10" t="s">
        <v>87</v>
      </c>
      <c r="E12" s="10" t="str">
        <f>"0,7064"</f>
        <v>0,7064</v>
      </c>
      <c r="F12" s="10" t="s">
        <v>185</v>
      </c>
      <c r="G12" s="11" t="s">
        <v>39</v>
      </c>
      <c r="H12" s="28">
        <v>104</v>
      </c>
      <c r="I12" s="11" t="str">
        <f>"7540,0"</f>
        <v>7540,0</v>
      </c>
      <c r="J12" s="11" t="str">
        <f>"5763,0088"</f>
        <v>5763,0088</v>
      </c>
      <c r="K12" s="10" t="s">
        <v>186</v>
      </c>
    </row>
    <row r="13" spans="1:11" ht="12.75">
      <c r="A13" s="11" t="s">
        <v>23</v>
      </c>
      <c r="B13" s="10" t="s">
        <v>250</v>
      </c>
      <c r="C13" s="10" t="s">
        <v>253</v>
      </c>
      <c r="D13" s="10" t="s">
        <v>105</v>
      </c>
      <c r="E13" s="10" t="str">
        <f>"0,7125"</f>
        <v>0,7125</v>
      </c>
      <c r="F13" s="10" t="s">
        <v>162</v>
      </c>
      <c r="G13" s="11" t="s">
        <v>39</v>
      </c>
      <c r="H13" s="28">
        <v>41</v>
      </c>
      <c r="I13" s="11" t="str">
        <f>"2972,5"</f>
        <v>2972,5</v>
      </c>
      <c r="J13" s="11" t="str">
        <f>"2160,2643"</f>
        <v>2160,2643</v>
      </c>
      <c r="K13" s="10" t="s">
        <v>31</v>
      </c>
    </row>
    <row r="14" spans="1:11" ht="12.75">
      <c r="A14" s="13" t="s">
        <v>27</v>
      </c>
      <c r="B14" s="12" t="s">
        <v>254</v>
      </c>
      <c r="C14" s="12" t="s">
        <v>255</v>
      </c>
      <c r="D14" s="12" t="s">
        <v>121</v>
      </c>
      <c r="E14" s="12" t="str">
        <f>"0,6947"</f>
        <v>0,6947</v>
      </c>
      <c r="F14" s="30" t="s">
        <v>256</v>
      </c>
      <c r="G14" s="13" t="s">
        <v>21</v>
      </c>
      <c r="H14" s="25">
        <v>36</v>
      </c>
      <c r="I14" s="13" t="str">
        <f>"2700,0"</f>
        <v>2700,0</v>
      </c>
      <c r="J14" s="13" t="str">
        <f>"1875,6900"</f>
        <v>1875,6900</v>
      </c>
      <c r="K14" s="12" t="s">
        <v>31</v>
      </c>
    </row>
    <row r="15" ht="12.75">
      <c r="B15" s="4" t="s">
        <v>17</v>
      </c>
    </row>
    <row r="16" spans="1:8" ht="15">
      <c r="A16" s="52" t="s">
        <v>52</v>
      </c>
      <c r="B16" s="52"/>
      <c r="C16" s="52"/>
      <c r="D16" s="52"/>
      <c r="E16" s="52"/>
      <c r="F16" s="52"/>
      <c r="G16" s="52"/>
      <c r="H16" s="52"/>
    </row>
    <row r="17" spans="1:11" ht="12.75">
      <c r="A17" s="9" t="s">
        <v>12</v>
      </c>
      <c r="B17" s="8" t="s">
        <v>257</v>
      </c>
      <c r="C17" s="8" t="s">
        <v>258</v>
      </c>
      <c r="D17" s="8" t="s">
        <v>100</v>
      </c>
      <c r="E17" s="8" t="str">
        <f>"0,6446"</f>
        <v>0,6446</v>
      </c>
      <c r="F17" s="29" t="s">
        <v>259</v>
      </c>
      <c r="G17" s="9" t="s">
        <v>13</v>
      </c>
      <c r="H17" s="24">
        <v>39</v>
      </c>
      <c r="I17" s="9" t="str">
        <f>"3217,5"</f>
        <v>3217,5</v>
      </c>
      <c r="J17" s="9" t="str">
        <f>"2074,0004"</f>
        <v>2074,0004</v>
      </c>
      <c r="K17" s="8" t="s">
        <v>102</v>
      </c>
    </row>
    <row r="18" spans="1:11" ht="12.75">
      <c r="A18" s="13" t="s">
        <v>12</v>
      </c>
      <c r="B18" s="12" t="s">
        <v>126</v>
      </c>
      <c r="C18" s="12" t="s">
        <v>127</v>
      </c>
      <c r="D18" s="12" t="s">
        <v>128</v>
      </c>
      <c r="E18" s="12" t="str">
        <f>"0,6838"</f>
        <v>0,6838</v>
      </c>
      <c r="F18" s="12" t="s">
        <v>57</v>
      </c>
      <c r="G18" s="13" t="s">
        <v>18</v>
      </c>
      <c r="H18" s="25">
        <v>29</v>
      </c>
      <c r="I18" s="13" t="str">
        <f>"2247,5"</f>
        <v>2247,5</v>
      </c>
      <c r="J18" s="13" t="str">
        <f>"1948,8562"</f>
        <v>1948,8562</v>
      </c>
      <c r="K18" s="12" t="s">
        <v>129</v>
      </c>
    </row>
    <row r="19" ht="12.75">
      <c r="B19" s="4" t="s">
        <v>17</v>
      </c>
    </row>
    <row r="20" spans="1:8" ht="15">
      <c r="A20" s="52" t="s">
        <v>53</v>
      </c>
      <c r="B20" s="52"/>
      <c r="C20" s="52"/>
      <c r="D20" s="52"/>
      <c r="E20" s="52"/>
      <c r="F20" s="52"/>
      <c r="G20" s="52"/>
      <c r="H20" s="52"/>
    </row>
    <row r="21" spans="1:11" ht="12.75">
      <c r="A21" s="9" t="s">
        <v>12</v>
      </c>
      <c r="B21" s="8" t="s">
        <v>260</v>
      </c>
      <c r="C21" s="8" t="s">
        <v>261</v>
      </c>
      <c r="D21" s="8" t="s">
        <v>107</v>
      </c>
      <c r="E21" s="8" t="str">
        <f>"0,6133"</f>
        <v>0,6133</v>
      </c>
      <c r="F21" s="8" t="s">
        <v>185</v>
      </c>
      <c r="G21" s="9" t="s">
        <v>24</v>
      </c>
      <c r="H21" s="24">
        <v>50</v>
      </c>
      <c r="I21" s="9" t="str">
        <f>"4500,0"</f>
        <v>4500,0</v>
      </c>
      <c r="J21" s="9" t="str">
        <f>"2760,0749"</f>
        <v>2760,0749</v>
      </c>
      <c r="K21" s="8" t="s">
        <v>31</v>
      </c>
    </row>
    <row r="22" spans="1:11" ht="12.75">
      <c r="A22" s="11" t="s">
        <v>23</v>
      </c>
      <c r="B22" s="10" t="s">
        <v>262</v>
      </c>
      <c r="C22" s="10" t="s">
        <v>263</v>
      </c>
      <c r="D22" s="10" t="s">
        <v>179</v>
      </c>
      <c r="E22" s="10" t="str">
        <f>"0,6188"</f>
        <v>0,6188</v>
      </c>
      <c r="F22" s="10" t="s">
        <v>32</v>
      </c>
      <c r="G22" s="11" t="s">
        <v>24</v>
      </c>
      <c r="H22" s="28">
        <v>47</v>
      </c>
      <c r="I22" s="11" t="str">
        <f>"4230,0"</f>
        <v>4230,0</v>
      </c>
      <c r="J22" s="11" t="str">
        <f>"2617,7355"</f>
        <v>2617,7355</v>
      </c>
      <c r="K22" s="10" t="s">
        <v>264</v>
      </c>
    </row>
    <row r="23" spans="1:11" ht="12.75">
      <c r="A23" s="11" t="s">
        <v>27</v>
      </c>
      <c r="B23" s="10" t="s">
        <v>265</v>
      </c>
      <c r="C23" s="10" t="s">
        <v>266</v>
      </c>
      <c r="D23" s="10" t="s">
        <v>267</v>
      </c>
      <c r="E23" s="10" t="str">
        <f>"0,6436"</f>
        <v>0,6436</v>
      </c>
      <c r="F23" s="31" t="s">
        <v>268</v>
      </c>
      <c r="G23" s="11" t="s">
        <v>14</v>
      </c>
      <c r="H23" s="28">
        <v>40</v>
      </c>
      <c r="I23" s="11" t="str">
        <f>"3400,0"</f>
        <v>3400,0</v>
      </c>
      <c r="J23" s="11" t="str">
        <f>"2188,2400"</f>
        <v>2188,2400</v>
      </c>
      <c r="K23" s="10" t="s">
        <v>31</v>
      </c>
    </row>
    <row r="24" spans="1:11" ht="12.75">
      <c r="A24" s="11" t="s">
        <v>12</v>
      </c>
      <c r="B24" s="10" t="s">
        <v>262</v>
      </c>
      <c r="C24" s="10" t="s">
        <v>269</v>
      </c>
      <c r="D24" s="10" t="s">
        <v>179</v>
      </c>
      <c r="E24" s="10" t="str">
        <f>"0,6188"</f>
        <v>0,6188</v>
      </c>
      <c r="F24" s="10" t="s">
        <v>32</v>
      </c>
      <c r="G24" s="11" t="s">
        <v>24</v>
      </c>
      <c r="H24" s="28">
        <v>47</v>
      </c>
      <c r="I24" s="11" t="str">
        <f>"4230,0"</f>
        <v>4230,0</v>
      </c>
      <c r="J24" s="11" t="str">
        <f>"2832,3898"</f>
        <v>2832,3898</v>
      </c>
      <c r="K24" s="10" t="s">
        <v>264</v>
      </c>
    </row>
    <row r="25" spans="1:11" ht="12.75">
      <c r="A25" s="11" t="s">
        <v>23</v>
      </c>
      <c r="B25" s="10" t="s">
        <v>163</v>
      </c>
      <c r="C25" s="10" t="s">
        <v>164</v>
      </c>
      <c r="D25" s="10" t="s">
        <v>93</v>
      </c>
      <c r="E25" s="10" t="str">
        <f>"0,6197"</f>
        <v>0,6197</v>
      </c>
      <c r="F25" s="10" t="s">
        <v>60</v>
      </c>
      <c r="G25" s="11" t="s">
        <v>24</v>
      </c>
      <c r="H25" s="28">
        <v>32</v>
      </c>
      <c r="I25" s="11" t="str">
        <f>"2880,0"</f>
        <v>2880,0</v>
      </c>
      <c r="J25" s="11" t="str">
        <f>"1784,7360"</f>
        <v>1784,7360</v>
      </c>
      <c r="K25" s="10" t="s">
        <v>31</v>
      </c>
    </row>
    <row r="26" spans="1:11" ht="12.75">
      <c r="A26" s="11" t="s">
        <v>27</v>
      </c>
      <c r="B26" s="10" t="s">
        <v>270</v>
      </c>
      <c r="C26" s="10" t="s">
        <v>271</v>
      </c>
      <c r="D26" s="10" t="s">
        <v>92</v>
      </c>
      <c r="E26" s="10" t="str">
        <f>"0,6222"</f>
        <v>0,6222</v>
      </c>
      <c r="F26" s="10" t="s">
        <v>32</v>
      </c>
      <c r="G26" s="11" t="s">
        <v>11</v>
      </c>
      <c r="H26" s="28">
        <v>21</v>
      </c>
      <c r="I26" s="11" t="str">
        <f>"1837,5"</f>
        <v>1837,5</v>
      </c>
      <c r="J26" s="11" t="str">
        <f>"1272,3823"</f>
        <v>1272,3823</v>
      </c>
      <c r="K26" s="10" t="s">
        <v>31</v>
      </c>
    </row>
    <row r="27" spans="1:11" ht="12.75">
      <c r="A27" s="11" t="s">
        <v>12</v>
      </c>
      <c r="B27" s="10" t="s">
        <v>260</v>
      </c>
      <c r="C27" s="10" t="s">
        <v>272</v>
      </c>
      <c r="D27" s="10" t="s">
        <v>107</v>
      </c>
      <c r="E27" s="10" t="str">
        <f>"0,6133"</f>
        <v>0,6133</v>
      </c>
      <c r="F27" s="10" t="s">
        <v>185</v>
      </c>
      <c r="G27" s="11" t="s">
        <v>24</v>
      </c>
      <c r="H27" s="28">
        <v>50</v>
      </c>
      <c r="I27" s="11" t="str">
        <f>"4500,0"</f>
        <v>4500,0</v>
      </c>
      <c r="J27" s="11" t="str">
        <f>"3323,1302"</f>
        <v>3323,1302</v>
      </c>
      <c r="K27" s="10" t="s">
        <v>31</v>
      </c>
    </row>
    <row r="28" spans="1:11" ht="12.75">
      <c r="A28" s="11" t="s">
        <v>12</v>
      </c>
      <c r="B28" s="10" t="s">
        <v>165</v>
      </c>
      <c r="C28" s="10" t="s">
        <v>273</v>
      </c>
      <c r="D28" s="10" t="s">
        <v>166</v>
      </c>
      <c r="E28" s="10" t="str">
        <f>"0,6326"</f>
        <v>0,6326</v>
      </c>
      <c r="F28" s="10" t="s">
        <v>167</v>
      </c>
      <c r="G28" s="11" t="s">
        <v>14</v>
      </c>
      <c r="H28" s="28">
        <v>12</v>
      </c>
      <c r="I28" s="11" t="str">
        <f>"1020,0"</f>
        <v>1020,0</v>
      </c>
      <c r="J28" s="11" t="str">
        <f>"864,6377"</f>
        <v>864,6377</v>
      </c>
      <c r="K28" s="10" t="s">
        <v>31</v>
      </c>
    </row>
    <row r="29" spans="1:11" ht="12.75">
      <c r="A29" s="13" t="s">
        <v>23</v>
      </c>
      <c r="B29" s="12" t="s">
        <v>213</v>
      </c>
      <c r="C29" s="12" t="s">
        <v>214</v>
      </c>
      <c r="D29" s="12" t="s">
        <v>98</v>
      </c>
      <c r="E29" s="12" t="str">
        <f>"0,6153"</f>
        <v>0,6153</v>
      </c>
      <c r="F29" s="12" t="s">
        <v>32</v>
      </c>
      <c r="G29" s="13" t="s">
        <v>24</v>
      </c>
      <c r="H29" s="25">
        <v>11</v>
      </c>
      <c r="I29" s="13" t="str">
        <f>"990,0"</f>
        <v>990,0</v>
      </c>
      <c r="J29" s="13" t="str">
        <f>"865,5979"</f>
        <v>865,5979</v>
      </c>
      <c r="K29" s="12" t="s">
        <v>31</v>
      </c>
    </row>
    <row r="30" ht="12.75">
      <c r="B30" s="4" t="s">
        <v>17</v>
      </c>
    </row>
    <row r="31" spans="1:8" ht="15">
      <c r="A31" s="52" t="s">
        <v>62</v>
      </c>
      <c r="B31" s="52"/>
      <c r="C31" s="52"/>
      <c r="D31" s="52"/>
      <c r="E31" s="52"/>
      <c r="F31" s="52"/>
      <c r="G31" s="52"/>
      <c r="H31" s="52"/>
    </row>
    <row r="32" spans="1:11" ht="12.75">
      <c r="A32" s="9" t="s">
        <v>12</v>
      </c>
      <c r="B32" s="8" t="s">
        <v>168</v>
      </c>
      <c r="C32" s="8" t="s">
        <v>169</v>
      </c>
      <c r="D32" s="8" t="s">
        <v>170</v>
      </c>
      <c r="E32" s="8" t="str">
        <f>"0,5900"</f>
        <v>0,5900</v>
      </c>
      <c r="F32" s="8" t="s">
        <v>171</v>
      </c>
      <c r="G32" s="9" t="s">
        <v>16</v>
      </c>
      <c r="H32" s="24">
        <v>39</v>
      </c>
      <c r="I32" s="9" t="str">
        <f>"3802,5"</f>
        <v>3802,5</v>
      </c>
      <c r="J32" s="9" t="str">
        <f>"2243,2850"</f>
        <v>2243,2850</v>
      </c>
      <c r="K32" s="8" t="s">
        <v>31</v>
      </c>
    </row>
    <row r="33" spans="1:11" ht="12.75">
      <c r="A33" s="11" t="s">
        <v>23</v>
      </c>
      <c r="B33" s="10" t="s">
        <v>274</v>
      </c>
      <c r="C33" s="10" t="s">
        <v>275</v>
      </c>
      <c r="D33" s="10" t="s">
        <v>276</v>
      </c>
      <c r="E33" s="10" t="str">
        <f>"0,6068"</f>
        <v>0,6068</v>
      </c>
      <c r="F33" s="31" t="s">
        <v>277</v>
      </c>
      <c r="G33" s="11" t="s">
        <v>15</v>
      </c>
      <c r="H33" s="28">
        <v>34</v>
      </c>
      <c r="I33" s="11" t="str">
        <f>"3145,0"</f>
        <v>3145,0</v>
      </c>
      <c r="J33" s="11" t="str">
        <f>"1908,3861"</f>
        <v>1908,3861</v>
      </c>
      <c r="K33" s="10" t="s">
        <v>278</v>
      </c>
    </row>
    <row r="34" spans="1:11" ht="12.75">
      <c r="A34" s="11" t="s">
        <v>27</v>
      </c>
      <c r="B34" s="10" t="s">
        <v>279</v>
      </c>
      <c r="C34" s="10" t="s">
        <v>280</v>
      </c>
      <c r="D34" s="10" t="s">
        <v>281</v>
      </c>
      <c r="E34" s="10" t="str">
        <f>"0,6050"</f>
        <v>0,6050</v>
      </c>
      <c r="F34" s="10" t="s">
        <v>32</v>
      </c>
      <c r="G34" s="11" t="s">
        <v>15</v>
      </c>
      <c r="H34" s="28">
        <v>32</v>
      </c>
      <c r="I34" s="11" t="str">
        <f>"2960,0"</f>
        <v>2960,0</v>
      </c>
      <c r="J34" s="11" t="str">
        <f>"1790,8001"</f>
        <v>1790,8001</v>
      </c>
      <c r="K34" s="10" t="s">
        <v>31</v>
      </c>
    </row>
    <row r="35" spans="1:11" ht="12.75">
      <c r="A35" s="11" t="s">
        <v>36</v>
      </c>
      <c r="B35" s="10" t="s">
        <v>282</v>
      </c>
      <c r="C35" s="10" t="s">
        <v>283</v>
      </c>
      <c r="D35" s="10" t="s">
        <v>64</v>
      </c>
      <c r="E35" s="10" t="str">
        <f>"0,5843"</f>
        <v>0,5843</v>
      </c>
      <c r="F35" s="31" t="s">
        <v>284</v>
      </c>
      <c r="G35" s="11" t="s">
        <v>34</v>
      </c>
      <c r="H35" s="28">
        <v>22</v>
      </c>
      <c r="I35" s="11" t="str">
        <f>"2200,0"</f>
        <v>2200,0</v>
      </c>
      <c r="J35" s="11" t="str">
        <f>"1285,4600"</f>
        <v>1285,4600</v>
      </c>
      <c r="K35" s="10" t="s">
        <v>31</v>
      </c>
    </row>
    <row r="36" spans="1:11" ht="12.75">
      <c r="A36" s="11" t="s">
        <v>12</v>
      </c>
      <c r="B36" s="10" t="s">
        <v>285</v>
      </c>
      <c r="C36" s="10" t="s">
        <v>286</v>
      </c>
      <c r="D36" s="10" t="s">
        <v>63</v>
      </c>
      <c r="E36" s="10" t="str">
        <f>"0,5867"</f>
        <v>0,5867</v>
      </c>
      <c r="F36" s="10" t="s">
        <v>10</v>
      </c>
      <c r="G36" s="11" t="s">
        <v>34</v>
      </c>
      <c r="H36" s="28">
        <v>22</v>
      </c>
      <c r="I36" s="11" t="str">
        <f>"2200,0"</f>
        <v>2200,0</v>
      </c>
      <c r="J36" s="11" t="str">
        <f>"1636,5189"</f>
        <v>1636,5189</v>
      </c>
      <c r="K36" s="10" t="s">
        <v>31</v>
      </c>
    </row>
    <row r="37" spans="1:11" ht="12.75">
      <c r="A37" s="13" t="s">
        <v>12</v>
      </c>
      <c r="B37" s="12" t="s">
        <v>149</v>
      </c>
      <c r="C37" s="12" t="s">
        <v>218</v>
      </c>
      <c r="D37" s="12" t="s">
        <v>141</v>
      </c>
      <c r="E37" s="12" t="str">
        <f>"0,6064"</f>
        <v>0,6064</v>
      </c>
      <c r="F37" s="12" t="s">
        <v>150</v>
      </c>
      <c r="G37" s="13" t="s">
        <v>15</v>
      </c>
      <c r="H37" s="25">
        <v>10</v>
      </c>
      <c r="I37" s="13" t="str">
        <f>"925,0"</f>
        <v>925,0</v>
      </c>
      <c r="J37" s="13" t="str">
        <f>"813,3340"</f>
        <v>813,3340</v>
      </c>
      <c r="K37" s="12" t="s">
        <v>31</v>
      </c>
    </row>
    <row r="38" ht="12.75">
      <c r="B38" s="4" t="s">
        <v>17</v>
      </c>
    </row>
    <row r="39" spans="1:8" ht="15">
      <c r="A39" s="52" t="s">
        <v>66</v>
      </c>
      <c r="B39" s="52"/>
      <c r="C39" s="52"/>
      <c r="D39" s="52"/>
      <c r="E39" s="52"/>
      <c r="F39" s="52"/>
      <c r="G39" s="52"/>
      <c r="H39" s="52"/>
    </row>
    <row r="40" spans="1:11" ht="12.75">
      <c r="A40" s="9" t="s">
        <v>12</v>
      </c>
      <c r="B40" s="8" t="s">
        <v>287</v>
      </c>
      <c r="C40" s="8" t="s">
        <v>288</v>
      </c>
      <c r="D40" s="8" t="s">
        <v>289</v>
      </c>
      <c r="E40" s="8" t="str">
        <f>"0,5725"</f>
        <v>0,5725</v>
      </c>
      <c r="F40" s="29" t="s">
        <v>290</v>
      </c>
      <c r="G40" s="9" t="s">
        <v>28</v>
      </c>
      <c r="H40" s="24">
        <v>48</v>
      </c>
      <c r="I40" s="9" t="str">
        <f>"5040,0"</f>
        <v>5040,0</v>
      </c>
      <c r="J40" s="9" t="str">
        <f>"2885,6520"</f>
        <v>2885,6520</v>
      </c>
      <c r="K40" s="8" t="s">
        <v>31</v>
      </c>
    </row>
    <row r="41" spans="1:11" ht="12.75">
      <c r="A41" s="11" t="s">
        <v>23</v>
      </c>
      <c r="B41" s="10" t="s">
        <v>187</v>
      </c>
      <c r="C41" s="10" t="s">
        <v>188</v>
      </c>
      <c r="D41" s="10" t="s">
        <v>172</v>
      </c>
      <c r="E41" s="10" t="str">
        <f>"0,5681"</f>
        <v>0,5681</v>
      </c>
      <c r="F41" s="10" t="s">
        <v>57</v>
      </c>
      <c r="G41" s="11" t="s">
        <v>43</v>
      </c>
      <c r="H41" s="28">
        <v>28</v>
      </c>
      <c r="I41" s="11" t="str">
        <f>"3010,0"</f>
        <v>3010,0</v>
      </c>
      <c r="J41" s="11" t="str">
        <f>"1709,9809"</f>
        <v>1709,9809</v>
      </c>
      <c r="K41" s="10" t="s">
        <v>189</v>
      </c>
    </row>
    <row r="42" spans="1:11" ht="12.75">
      <c r="A42" s="13" t="s">
        <v>12</v>
      </c>
      <c r="B42" s="12" t="s">
        <v>174</v>
      </c>
      <c r="C42" s="12" t="s">
        <v>175</v>
      </c>
      <c r="D42" s="12" t="s">
        <v>176</v>
      </c>
      <c r="E42" s="12" t="str">
        <f>"0,5663"</f>
        <v>0,5663</v>
      </c>
      <c r="F42" s="12" t="s">
        <v>54</v>
      </c>
      <c r="G42" s="13" t="s">
        <v>43</v>
      </c>
      <c r="H42" s="25">
        <v>27</v>
      </c>
      <c r="I42" s="13" t="str">
        <f>"2902,5"</f>
        <v>2902,5</v>
      </c>
      <c r="J42" s="13" t="str">
        <f>"1914,8938"</f>
        <v>1914,8938</v>
      </c>
      <c r="K42" s="12" t="s">
        <v>151</v>
      </c>
    </row>
    <row r="43" ht="12.75">
      <c r="B43" s="4" t="s">
        <v>17</v>
      </c>
    </row>
    <row r="44" ht="12.75">
      <c r="B44" s="4" t="s">
        <v>17</v>
      </c>
    </row>
    <row r="45" ht="12.75">
      <c r="B45" s="4" t="s">
        <v>17</v>
      </c>
    </row>
    <row r="46" spans="2:6" ht="18">
      <c r="B46" s="14" t="s">
        <v>69</v>
      </c>
      <c r="C46" s="14"/>
      <c r="F46" s="3"/>
    </row>
    <row r="47" spans="2:6" ht="15">
      <c r="B47" s="34" t="s">
        <v>74</v>
      </c>
      <c r="C47" s="34"/>
      <c r="F47" s="3"/>
    </row>
    <row r="48" spans="2:6" ht="14.25">
      <c r="B48" s="15"/>
      <c r="C48" s="16" t="s">
        <v>70</v>
      </c>
      <c r="F48" s="3"/>
    </row>
    <row r="49" spans="2:6" ht="15">
      <c r="B49" s="17" t="s">
        <v>71</v>
      </c>
      <c r="C49" s="17" t="s">
        <v>72</v>
      </c>
      <c r="D49" s="17" t="s">
        <v>73</v>
      </c>
      <c r="E49" s="17" t="s">
        <v>192</v>
      </c>
      <c r="F49" s="17" t="s">
        <v>183</v>
      </c>
    </row>
    <row r="50" spans="2:6" ht="12.75">
      <c r="B50" s="4" t="s">
        <v>244</v>
      </c>
      <c r="C50" s="4" t="s">
        <v>70</v>
      </c>
      <c r="D50" s="5" t="s">
        <v>76</v>
      </c>
      <c r="E50" s="5" t="s">
        <v>291</v>
      </c>
      <c r="F50" s="5" t="s">
        <v>292</v>
      </c>
    </row>
    <row r="51" spans="2:6" ht="12.75">
      <c r="B51" s="4" t="s">
        <v>246</v>
      </c>
      <c r="C51" s="4" t="s">
        <v>70</v>
      </c>
      <c r="D51" s="5" t="s">
        <v>76</v>
      </c>
      <c r="E51" s="5" t="s">
        <v>293</v>
      </c>
      <c r="F51" s="5" t="s">
        <v>294</v>
      </c>
    </row>
    <row r="52" spans="2:6" ht="12.75">
      <c r="B52" s="4" t="s">
        <v>287</v>
      </c>
      <c r="C52" s="4" t="s">
        <v>70</v>
      </c>
      <c r="D52" s="5" t="s">
        <v>96</v>
      </c>
      <c r="E52" s="5" t="s">
        <v>295</v>
      </c>
      <c r="F52" s="5" t="s">
        <v>296</v>
      </c>
    </row>
    <row r="54" spans="2:3" ht="14.25">
      <c r="B54" s="15"/>
      <c r="C54" s="16" t="s">
        <v>78</v>
      </c>
    </row>
    <row r="55" spans="2:6" ht="15">
      <c r="B55" s="17" t="s">
        <v>71</v>
      </c>
      <c r="C55" s="17" t="s">
        <v>72</v>
      </c>
      <c r="D55" s="17" t="s">
        <v>73</v>
      </c>
      <c r="E55" s="17" t="s">
        <v>192</v>
      </c>
      <c r="F55" s="17" t="s">
        <v>183</v>
      </c>
    </row>
    <row r="56" spans="2:6" ht="12.75">
      <c r="B56" s="4" t="s">
        <v>244</v>
      </c>
      <c r="C56" s="4" t="s">
        <v>81</v>
      </c>
      <c r="D56" s="5" t="s">
        <v>76</v>
      </c>
      <c r="E56" s="5" t="s">
        <v>291</v>
      </c>
      <c r="F56" s="5" t="s">
        <v>297</v>
      </c>
    </row>
    <row r="57" spans="2:6" ht="12.75">
      <c r="B57" s="4" t="s">
        <v>260</v>
      </c>
      <c r="C57" s="4" t="s">
        <v>79</v>
      </c>
      <c r="D57" s="5" t="s">
        <v>77</v>
      </c>
      <c r="E57" s="5" t="s">
        <v>298</v>
      </c>
      <c r="F57" s="5" t="s">
        <v>299</v>
      </c>
    </row>
    <row r="58" spans="2:6" ht="12.75">
      <c r="B58" s="4" t="s">
        <v>262</v>
      </c>
      <c r="C58" s="4" t="s">
        <v>81</v>
      </c>
      <c r="D58" s="5" t="s">
        <v>77</v>
      </c>
      <c r="E58" s="5" t="s">
        <v>300</v>
      </c>
      <c r="F58" s="5" t="s">
        <v>301</v>
      </c>
    </row>
    <row r="59" ht="12.75">
      <c r="B59" s="4" t="s">
        <v>17</v>
      </c>
    </row>
  </sheetData>
  <sheetProtection/>
  <mergeCells count="17">
    <mergeCell ref="A8:H8"/>
    <mergeCell ref="A16:H16"/>
    <mergeCell ref="A20:H20"/>
    <mergeCell ref="A31:H31"/>
    <mergeCell ref="A39:H39"/>
    <mergeCell ref="A5:H5"/>
    <mergeCell ref="A1:K2"/>
    <mergeCell ref="A3:A4"/>
    <mergeCell ref="C3:C4"/>
    <mergeCell ref="D3:D4"/>
    <mergeCell ref="E3:E4"/>
    <mergeCell ref="F3:F4"/>
    <mergeCell ref="B3:B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G37" sqref="G37"/>
    </sheetView>
  </sheetViews>
  <sheetFormatPr defaultColWidth="9.125" defaultRowHeight="12.75"/>
  <cols>
    <col min="1" max="1" width="7.375" style="4" bestFit="1" customWidth="1"/>
    <col min="2" max="2" width="18.375" style="4" bestFit="1" customWidth="1"/>
    <col min="3" max="3" width="28.375" style="4" bestFit="1" customWidth="1"/>
    <col min="4" max="4" width="16.75390625" style="4" customWidth="1"/>
    <col min="5" max="5" width="10.375" style="4" bestFit="1" customWidth="1"/>
    <col min="6" max="6" width="21.625" style="4" customWidth="1"/>
    <col min="7" max="7" width="9.75390625" style="5" customWidth="1"/>
    <col min="8" max="8" width="10.375" style="26" customWidth="1"/>
    <col min="9" max="9" width="10.00390625" style="5" bestFit="1" customWidth="1"/>
    <col min="10" max="10" width="9.375" style="5" bestFit="1" customWidth="1"/>
    <col min="11" max="11" width="21.25390625" style="4" customWidth="1"/>
    <col min="12" max="16384" width="9.125" style="3" customWidth="1"/>
  </cols>
  <sheetData>
    <row r="1" spans="1:11" s="2" customFormat="1" ht="28.5" customHeight="1">
      <c r="A1" s="41" t="s">
        <v>302</v>
      </c>
      <c r="B1" s="42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5" t="s">
        <v>1</v>
      </c>
      <c r="C3" s="51" t="s">
        <v>2</v>
      </c>
      <c r="D3" s="51" t="s">
        <v>3</v>
      </c>
      <c r="E3" s="35" t="s">
        <v>178</v>
      </c>
      <c r="F3" s="35" t="s">
        <v>4</v>
      </c>
      <c r="G3" s="35" t="s">
        <v>191</v>
      </c>
      <c r="H3" s="35"/>
      <c r="I3" s="35" t="s">
        <v>192</v>
      </c>
      <c r="J3" s="35" t="s">
        <v>5</v>
      </c>
      <c r="K3" s="37" t="s">
        <v>6</v>
      </c>
    </row>
    <row r="4" spans="1:11" s="1" customFormat="1" ht="21" customHeight="1" thickBot="1">
      <c r="A4" s="50"/>
      <c r="B4" s="56"/>
      <c r="C4" s="36"/>
      <c r="D4" s="36"/>
      <c r="E4" s="36"/>
      <c r="F4" s="36"/>
      <c r="G4" s="33" t="s">
        <v>193</v>
      </c>
      <c r="H4" s="23" t="s">
        <v>194</v>
      </c>
      <c r="I4" s="36"/>
      <c r="J4" s="36"/>
      <c r="K4" s="38"/>
    </row>
    <row r="5" spans="1:8" ht="15">
      <c r="A5" s="39" t="s">
        <v>7</v>
      </c>
      <c r="B5" s="39"/>
      <c r="C5" s="40"/>
      <c r="D5" s="40"/>
      <c r="E5" s="40"/>
      <c r="F5" s="40"/>
      <c r="G5" s="40"/>
      <c r="H5" s="40"/>
    </row>
    <row r="6" spans="1:11" ht="12.75">
      <c r="A6" s="7" t="s">
        <v>12</v>
      </c>
      <c r="B6" s="6" t="s">
        <v>109</v>
      </c>
      <c r="C6" s="6" t="s">
        <v>110</v>
      </c>
      <c r="D6" s="6" t="s">
        <v>9</v>
      </c>
      <c r="E6" s="6" t="str">
        <f>"1,2894"</f>
        <v>1,2894</v>
      </c>
      <c r="F6" s="6" t="s">
        <v>108</v>
      </c>
      <c r="G6" s="7" t="s">
        <v>303</v>
      </c>
      <c r="H6" s="27">
        <v>41</v>
      </c>
      <c r="I6" s="7" t="str">
        <f>"922,5"</f>
        <v>922,5</v>
      </c>
      <c r="J6" s="7" t="str">
        <f>"1189,4715"</f>
        <v>1189,4715</v>
      </c>
      <c r="K6" s="6" t="s">
        <v>31</v>
      </c>
    </row>
    <row r="7" ht="12.75">
      <c r="B7" s="4" t="s">
        <v>17</v>
      </c>
    </row>
    <row r="8" spans="1:8" ht="15">
      <c r="A8" s="52" t="s">
        <v>38</v>
      </c>
      <c r="B8" s="52"/>
      <c r="C8" s="52"/>
      <c r="D8" s="52"/>
      <c r="E8" s="52"/>
      <c r="F8" s="52"/>
      <c r="G8" s="52"/>
      <c r="H8" s="52"/>
    </row>
    <row r="9" spans="1:11" ht="12.75">
      <c r="A9" s="7" t="s">
        <v>12</v>
      </c>
      <c r="B9" s="6" t="s">
        <v>111</v>
      </c>
      <c r="C9" s="6" t="s">
        <v>112</v>
      </c>
      <c r="D9" s="6" t="s">
        <v>113</v>
      </c>
      <c r="E9" s="6" t="str">
        <f>"1,0910"</f>
        <v>1,0910</v>
      </c>
      <c r="F9" s="6" t="s">
        <v>94</v>
      </c>
      <c r="G9" s="7" t="s">
        <v>103</v>
      </c>
      <c r="H9" s="27">
        <v>54</v>
      </c>
      <c r="I9" s="7" t="str">
        <f>"1485,0"</f>
        <v>1485,0</v>
      </c>
      <c r="J9" s="7" t="str">
        <f>"1620,1349"</f>
        <v>1620,1349</v>
      </c>
      <c r="K9" s="6" t="s">
        <v>114</v>
      </c>
    </row>
    <row r="10" ht="12.75">
      <c r="B10" s="4" t="s">
        <v>17</v>
      </c>
    </row>
    <row r="11" spans="1:8" ht="15">
      <c r="A11" s="52" t="s">
        <v>41</v>
      </c>
      <c r="B11" s="52"/>
      <c r="C11" s="52"/>
      <c r="D11" s="52"/>
      <c r="E11" s="52"/>
      <c r="F11" s="52"/>
      <c r="G11" s="52"/>
      <c r="H11" s="52"/>
    </row>
    <row r="12" spans="1:11" ht="12.75">
      <c r="A12" s="7" t="s">
        <v>12</v>
      </c>
      <c r="B12" s="6" t="s">
        <v>304</v>
      </c>
      <c r="C12" s="6" t="s">
        <v>305</v>
      </c>
      <c r="D12" s="6" t="s">
        <v>115</v>
      </c>
      <c r="E12" s="6" t="str">
        <f>"0,9916"</f>
        <v>0,9916</v>
      </c>
      <c r="F12" s="6" t="s">
        <v>32</v>
      </c>
      <c r="G12" s="7" t="s">
        <v>104</v>
      </c>
      <c r="H12" s="27">
        <v>45</v>
      </c>
      <c r="I12" s="7" t="str">
        <f>"1350,0"</f>
        <v>1350,0</v>
      </c>
      <c r="J12" s="7" t="str">
        <f>"1338,6600"</f>
        <v>1338,6600</v>
      </c>
      <c r="K12" s="6" t="s">
        <v>306</v>
      </c>
    </row>
    <row r="13" ht="12.75">
      <c r="B13" s="4" t="s">
        <v>17</v>
      </c>
    </row>
    <row r="14" spans="1:8" ht="15">
      <c r="A14" s="52" t="s">
        <v>47</v>
      </c>
      <c r="B14" s="52"/>
      <c r="C14" s="52"/>
      <c r="D14" s="52"/>
      <c r="E14" s="52"/>
      <c r="F14" s="52"/>
      <c r="G14" s="52"/>
      <c r="H14" s="52"/>
    </row>
    <row r="15" spans="1:11" ht="12.75">
      <c r="A15" s="7" t="s">
        <v>12</v>
      </c>
      <c r="B15" s="6" t="s">
        <v>48</v>
      </c>
      <c r="C15" s="6" t="s">
        <v>49</v>
      </c>
      <c r="D15" s="6" t="s">
        <v>307</v>
      </c>
      <c r="E15" s="6" t="str">
        <f>"0,8637"</f>
        <v>0,8637</v>
      </c>
      <c r="F15" s="6" t="s">
        <v>50</v>
      </c>
      <c r="G15" s="7" t="s">
        <v>19</v>
      </c>
      <c r="H15" s="27">
        <v>45</v>
      </c>
      <c r="I15" s="7" t="str">
        <f>"1687,5"</f>
        <v>1687,5</v>
      </c>
      <c r="J15" s="7" t="str">
        <f>"1457,4937"</f>
        <v>1457,4937</v>
      </c>
      <c r="K15" s="6" t="s">
        <v>51</v>
      </c>
    </row>
    <row r="16" ht="12.75">
      <c r="B16" s="4" t="s">
        <v>17</v>
      </c>
    </row>
    <row r="17" spans="1:8" ht="15">
      <c r="A17" s="52" t="s">
        <v>42</v>
      </c>
      <c r="B17" s="52"/>
      <c r="C17" s="52"/>
      <c r="D17" s="52"/>
      <c r="E17" s="52"/>
      <c r="F17" s="52"/>
      <c r="G17" s="52"/>
      <c r="H17" s="52"/>
    </row>
    <row r="18" spans="1:11" ht="12.75">
      <c r="A18" s="9" t="s">
        <v>12</v>
      </c>
      <c r="B18" s="8" t="s">
        <v>308</v>
      </c>
      <c r="C18" s="8" t="s">
        <v>309</v>
      </c>
      <c r="D18" s="8" t="s">
        <v>118</v>
      </c>
      <c r="E18" s="8" t="str">
        <f>"0,7660"</f>
        <v>0,7660</v>
      </c>
      <c r="F18" s="8" t="s">
        <v>32</v>
      </c>
      <c r="G18" s="9" t="s">
        <v>83</v>
      </c>
      <c r="H18" s="24">
        <v>36</v>
      </c>
      <c r="I18" s="9" t="str">
        <f>"1260,0"</f>
        <v>1260,0</v>
      </c>
      <c r="J18" s="9" t="str">
        <f>"965,1600"</f>
        <v>965,1600</v>
      </c>
      <c r="K18" s="8" t="s">
        <v>310</v>
      </c>
    </row>
    <row r="19" spans="1:11" ht="12.75">
      <c r="A19" s="13" t="s">
        <v>12</v>
      </c>
      <c r="B19" s="12" t="s">
        <v>311</v>
      </c>
      <c r="C19" s="12" t="s">
        <v>312</v>
      </c>
      <c r="D19" s="12" t="s">
        <v>44</v>
      </c>
      <c r="E19" s="12" t="str">
        <f>"0,7818"</f>
        <v>0,7818</v>
      </c>
      <c r="F19" s="30" t="s">
        <v>313</v>
      </c>
      <c r="G19" s="13" t="s">
        <v>82</v>
      </c>
      <c r="H19" s="25">
        <v>61</v>
      </c>
      <c r="I19" s="13" t="str">
        <f>"1982,5"</f>
        <v>1982,5</v>
      </c>
      <c r="J19" s="13" t="str">
        <f>"2495,5283"</f>
        <v>2495,5283</v>
      </c>
      <c r="K19" s="12" t="s">
        <v>31</v>
      </c>
    </row>
    <row r="20" ht="12.75">
      <c r="B20" s="4" t="s">
        <v>17</v>
      </c>
    </row>
    <row r="21" spans="1:8" ht="15">
      <c r="A21" s="52" t="s">
        <v>47</v>
      </c>
      <c r="B21" s="52"/>
      <c r="C21" s="52"/>
      <c r="D21" s="52"/>
      <c r="E21" s="52"/>
      <c r="F21" s="52"/>
      <c r="G21" s="52"/>
      <c r="H21" s="52"/>
    </row>
    <row r="22" spans="1:11" ht="12.75">
      <c r="A22" s="7" t="s">
        <v>12</v>
      </c>
      <c r="B22" s="6" t="s">
        <v>314</v>
      </c>
      <c r="C22" s="6" t="s">
        <v>315</v>
      </c>
      <c r="D22" s="6" t="s">
        <v>105</v>
      </c>
      <c r="E22" s="6" t="str">
        <f>"0,7125"</f>
        <v>0,7125</v>
      </c>
      <c r="F22" s="6" t="s">
        <v>32</v>
      </c>
      <c r="G22" s="7" t="s">
        <v>19</v>
      </c>
      <c r="H22" s="27">
        <v>23</v>
      </c>
      <c r="I22" s="7" t="str">
        <f>"862,5"</f>
        <v>862,5</v>
      </c>
      <c r="J22" s="7" t="str">
        <f>"614,5312"</f>
        <v>614,5312</v>
      </c>
      <c r="K22" s="6" t="s">
        <v>310</v>
      </c>
    </row>
    <row r="23" ht="12.75">
      <c r="B23" s="4" t="s">
        <v>17</v>
      </c>
    </row>
    <row r="24" spans="1:8" ht="15">
      <c r="A24" s="52" t="s">
        <v>52</v>
      </c>
      <c r="B24" s="52"/>
      <c r="C24" s="52"/>
      <c r="D24" s="52"/>
      <c r="E24" s="52"/>
      <c r="F24" s="52"/>
      <c r="G24" s="52"/>
      <c r="H24" s="52"/>
    </row>
    <row r="25" spans="1:11" ht="12.75">
      <c r="A25" s="7" t="s">
        <v>12</v>
      </c>
      <c r="B25" s="6" t="s">
        <v>316</v>
      </c>
      <c r="C25" s="6" t="s">
        <v>317</v>
      </c>
      <c r="D25" s="6" t="s">
        <v>318</v>
      </c>
      <c r="E25" s="6" t="str">
        <f>"0,6641"</f>
        <v>0,6641</v>
      </c>
      <c r="F25" s="32" t="s">
        <v>319</v>
      </c>
      <c r="G25" s="7" t="s">
        <v>20</v>
      </c>
      <c r="H25" s="27">
        <v>73</v>
      </c>
      <c r="I25" s="7" t="str">
        <f>"2920,0"</f>
        <v>2920,0</v>
      </c>
      <c r="J25" s="7" t="str">
        <f>"2648,9089"</f>
        <v>2648,9089</v>
      </c>
      <c r="K25" s="6" t="s">
        <v>31</v>
      </c>
    </row>
    <row r="26" ht="12.75">
      <c r="B26" s="4" t="s">
        <v>17</v>
      </c>
    </row>
    <row r="27" spans="1:8" ht="15">
      <c r="A27" s="52" t="s">
        <v>62</v>
      </c>
      <c r="B27" s="52"/>
      <c r="C27" s="52"/>
      <c r="D27" s="52"/>
      <c r="E27" s="52"/>
      <c r="F27" s="52"/>
      <c r="G27" s="52"/>
      <c r="H27" s="52"/>
    </row>
    <row r="28" spans="1:11" ht="12.75">
      <c r="A28" s="9" t="s">
        <v>12</v>
      </c>
      <c r="B28" s="8" t="s">
        <v>320</v>
      </c>
      <c r="C28" s="8" t="s">
        <v>321</v>
      </c>
      <c r="D28" s="8" t="s">
        <v>65</v>
      </c>
      <c r="E28" s="8" t="str">
        <f>"0,5980"</f>
        <v>0,5980</v>
      </c>
      <c r="F28" s="8" t="s">
        <v>91</v>
      </c>
      <c r="G28" s="9" t="s">
        <v>33</v>
      </c>
      <c r="H28" s="24">
        <v>77</v>
      </c>
      <c r="I28" s="9" t="str">
        <f>"3657,5"</f>
        <v>3657,5</v>
      </c>
      <c r="J28" s="9" t="str">
        <f>"3304,8365"</f>
        <v>3304,8365</v>
      </c>
      <c r="K28" s="8" t="s">
        <v>31</v>
      </c>
    </row>
    <row r="29" spans="1:11" ht="12.75">
      <c r="A29" s="13" t="s">
        <v>23</v>
      </c>
      <c r="B29" s="12" t="s">
        <v>322</v>
      </c>
      <c r="C29" s="12" t="s">
        <v>323</v>
      </c>
      <c r="D29" s="12" t="s">
        <v>142</v>
      </c>
      <c r="E29" s="12" t="str">
        <f>"0,5974"</f>
        <v>0,5974</v>
      </c>
      <c r="F29" s="12" t="s">
        <v>32</v>
      </c>
      <c r="G29" s="13" t="s">
        <v>33</v>
      </c>
      <c r="H29" s="25">
        <v>49</v>
      </c>
      <c r="I29" s="13" t="str">
        <f>"2327,5"</f>
        <v>2327,5</v>
      </c>
      <c r="J29" s="13" t="str">
        <f>"2016,1504"</f>
        <v>2016,1504</v>
      </c>
      <c r="K29" s="12" t="s">
        <v>31</v>
      </c>
    </row>
    <row r="30" ht="12.75">
      <c r="B30" s="4" t="s">
        <v>17</v>
      </c>
    </row>
    <row r="31" spans="1:8" ht="15">
      <c r="A31" s="52" t="s">
        <v>67</v>
      </c>
      <c r="B31" s="52"/>
      <c r="C31" s="52"/>
      <c r="D31" s="52"/>
      <c r="E31" s="52"/>
      <c r="F31" s="52"/>
      <c r="G31" s="52"/>
      <c r="H31" s="52"/>
    </row>
    <row r="32" spans="1:11" ht="12.75">
      <c r="A32" s="7" t="s">
        <v>12</v>
      </c>
      <c r="B32" s="6" t="s">
        <v>324</v>
      </c>
      <c r="C32" s="6" t="s">
        <v>325</v>
      </c>
      <c r="D32" s="6" t="s">
        <v>326</v>
      </c>
      <c r="E32" s="6" t="str">
        <f>"0,5561"</f>
        <v>0,5561</v>
      </c>
      <c r="F32" s="32" t="s">
        <v>327</v>
      </c>
      <c r="G32" s="7" t="s">
        <v>22</v>
      </c>
      <c r="H32" s="27">
        <v>44</v>
      </c>
      <c r="I32" s="7" t="str">
        <f>"2640,0"</f>
        <v>2640,0</v>
      </c>
      <c r="J32" s="7" t="str">
        <f>"1468,1040"</f>
        <v>1468,1040</v>
      </c>
      <c r="K32" s="6" t="s">
        <v>31</v>
      </c>
    </row>
    <row r="33" ht="12.75">
      <c r="B33" s="4" t="s">
        <v>17</v>
      </c>
    </row>
    <row r="34" ht="12.75">
      <c r="B34" s="4" t="s">
        <v>17</v>
      </c>
    </row>
  </sheetData>
  <sheetProtection/>
  <mergeCells count="20">
    <mergeCell ref="A27:H27"/>
    <mergeCell ref="A31:H31"/>
    <mergeCell ref="B3:B4"/>
    <mergeCell ref="A8:H8"/>
    <mergeCell ref="A11:H11"/>
    <mergeCell ref="A14:H14"/>
    <mergeCell ref="A17:H17"/>
    <mergeCell ref="A21:H21"/>
    <mergeCell ref="A24:H2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F36" sqref="F36"/>
    </sheetView>
  </sheetViews>
  <sheetFormatPr defaultColWidth="9.125" defaultRowHeight="12.75"/>
  <cols>
    <col min="1" max="1" width="7.375" style="4" bestFit="1" customWidth="1"/>
    <col min="2" max="2" width="18.875" style="4" bestFit="1" customWidth="1"/>
    <col min="3" max="3" width="28.375" style="4" bestFit="1" customWidth="1"/>
    <col min="4" max="4" width="18.625" style="4" customWidth="1"/>
    <col min="5" max="5" width="10.375" style="4" bestFit="1" customWidth="1"/>
    <col min="6" max="6" width="28.125" style="4" customWidth="1"/>
    <col min="7" max="7" width="9.375" style="5" customWidth="1"/>
    <col min="8" max="8" width="10.375" style="26" customWidth="1"/>
    <col min="9" max="9" width="10.00390625" style="5" bestFit="1" customWidth="1"/>
    <col min="10" max="10" width="10.375" style="5" bestFit="1" customWidth="1"/>
    <col min="11" max="11" width="23.00390625" style="4" customWidth="1"/>
    <col min="12" max="16384" width="9.125" style="3" customWidth="1"/>
  </cols>
  <sheetData>
    <row r="1" spans="1:11" s="2" customFormat="1" ht="28.5" customHeight="1">
      <c r="A1" s="41" t="s">
        <v>328</v>
      </c>
      <c r="B1" s="42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1.5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1:11" s="1" customFormat="1" ht="12.75" customHeight="1">
      <c r="A3" s="49" t="s">
        <v>0</v>
      </c>
      <c r="B3" s="55" t="s">
        <v>1</v>
      </c>
      <c r="C3" s="51" t="s">
        <v>2</v>
      </c>
      <c r="D3" s="51" t="s">
        <v>3</v>
      </c>
      <c r="E3" s="35" t="s">
        <v>178</v>
      </c>
      <c r="F3" s="35" t="s">
        <v>4</v>
      </c>
      <c r="G3" s="35" t="s">
        <v>191</v>
      </c>
      <c r="H3" s="35"/>
      <c r="I3" s="35" t="s">
        <v>192</v>
      </c>
      <c r="J3" s="35" t="s">
        <v>5</v>
      </c>
      <c r="K3" s="37" t="s">
        <v>6</v>
      </c>
    </row>
    <row r="4" spans="1:11" s="1" customFormat="1" ht="21" customHeight="1" thickBot="1">
      <c r="A4" s="50"/>
      <c r="B4" s="56"/>
      <c r="C4" s="36"/>
      <c r="D4" s="36"/>
      <c r="E4" s="36"/>
      <c r="F4" s="36"/>
      <c r="G4" s="33" t="s">
        <v>193</v>
      </c>
      <c r="H4" s="23" t="s">
        <v>194</v>
      </c>
      <c r="I4" s="36"/>
      <c r="J4" s="36"/>
      <c r="K4" s="38"/>
    </row>
    <row r="5" spans="1:8" ht="15">
      <c r="A5" s="39" t="s">
        <v>38</v>
      </c>
      <c r="B5" s="39"/>
      <c r="C5" s="40"/>
      <c r="D5" s="40"/>
      <c r="E5" s="40"/>
      <c r="F5" s="40"/>
      <c r="G5" s="40"/>
      <c r="H5" s="40"/>
    </row>
    <row r="6" spans="1:11" ht="12.75">
      <c r="A6" s="7" t="s">
        <v>12</v>
      </c>
      <c r="B6" s="6" t="s">
        <v>111</v>
      </c>
      <c r="C6" s="6" t="s">
        <v>112</v>
      </c>
      <c r="D6" s="6" t="s">
        <v>113</v>
      </c>
      <c r="E6" s="6" t="str">
        <f>"1,0910"</f>
        <v>1,0910</v>
      </c>
      <c r="F6" s="6" t="s">
        <v>94</v>
      </c>
      <c r="G6" s="7" t="s">
        <v>103</v>
      </c>
      <c r="H6" s="27">
        <v>54</v>
      </c>
      <c r="I6" s="7" t="str">
        <f>"1485,0"</f>
        <v>1485,0</v>
      </c>
      <c r="J6" s="7" t="str">
        <f>"1620,1349"</f>
        <v>1620,1349</v>
      </c>
      <c r="K6" s="6" t="s">
        <v>114</v>
      </c>
    </row>
    <row r="7" ht="12.75">
      <c r="B7" s="4" t="s">
        <v>17</v>
      </c>
    </row>
    <row r="8" spans="1:8" ht="15">
      <c r="A8" s="52" t="s">
        <v>41</v>
      </c>
      <c r="B8" s="52"/>
      <c r="C8" s="52"/>
      <c r="D8" s="52"/>
      <c r="E8" s="52"/>
      <c r="F8" s="52"/>
      <c r="G8" s="52"/>
      <c r="H8" s="52"/>
    </row>
    <row r="9" spans="1:11" ht="12.75">
      <c r="A9" s="7" t="s">
        <v>12</v>
      </c>
      <c r="B9" s="6" t="s">
        <v>329</v>
      </c>
      <c r="C9" s="6" t="s">
        <v>330</v>
      </c>
      <c r="D9" s="6" t="s">
        <v>331</v>
      </c>
      <c r="E9" s="6" t="str">
        <f>"1,0149"</f>
        <v>1,0149</v>
      </c>
      <c r="F9" s="6" t="s">
        <v>161</v>
      </c>
      <c r="G9" s="7" t="s">
        <v>104</v>
      </c>
      <c r="H9" s="27">
        <v>35</v>
      </c>
      <c r="I9" s="7" t="str">
        <f>"1050,0"</f>
        <v>1050,0</v>
      </c>
      <c r="J9" s="7" t="str">
        <f>"1065,6450"</f>
        <v>1065,6450</v>
      </c>
      <c r="K9" s="6" t="s">
        <v>31</v>
      </c>
    </row>
    <row r="10" ht="12.75">
      <c r="B10" s="4" t="s">
        <v>17</v>
      </c>
    </row>
    <row r="11" spans="1:8" ht="15">
      <c r="A11" s="52" t="s">
        <v>41</v>
      </c>
      <c r="B11" s="52"/>
      <c r="C11" s="52"/>
      <c r="D11" s="52"/>
      <c r="E11" s="52"/>
      <c r="F11" s="52"/>
      <c r="G11" s="52"/>
      <c r="H11" s="52"/>
    </row>
    <row r="12" spans="1:11" ht="12.75">
      <c r="A12" s="7" t="s">
        <v>12</v>
      </c>
      <c r="B12" s="6" t="s">
        <v>332</v>
      </c>
      <c r="C12" s="6" t="s">
        <v>333</v>
      </c>
      <c r="D12" s="6" t="s">
        <v>334</v>
      </c>
      <c r="E12" s="6" t="str">
        <f>"0,8440"</f>
        <v>0,8440</v>
      </c>
      <c r="F12" s="6" t="s">
        <v>185</v>
      </c>
      <c r="G12" s="7" t="s">
        <v>104</v>
      </c>
      <c r="H12" s="27">
        <v>82</v>
      </c>
      <c r="I12" s="7" t="str">
        <f>"2460,0"</f>
        <v>2460,0</v>
      </c>
      <c r="J12" s="7" t="str">
        <f>"2076,1171"</f>
        <v>2076,1171</v>
      </c>
      <c r="K12" s="6" t="s">
        <v>186</v>
      </c>
    </row>
    <row r="13" ht="12.75">
      <c r="B13" s="4" t="s">
        <v>17</v>
      </c>
    </row>
    <row r="14" spans="1:8" ht="15">
      <c r="A14" s="52" t="s">
        <v>42</v>
      </c>
      <c r="B14" s="52"/>
      <c r="C14" s="52"/>
      <c r="D14" s="52"/>
      <c r="E14" s="52"/>
      <c r="F14" s="52"/>
      <c r="G14" s="52"/>
      <c r="H14" s="52"/>
    </row>
    <row r="15" spans="1:11" ht="12.75">
      <c r="A15" s="7" t="s">
        <v>12</v>
      </c>
      <c r="B15" s="6" t="s">
        <v>335</v>
      </c>
      <c r="C15" s="6" t="s">
        <v>336</v>
      </c>
      <c r="D15" s="6" t="s">
        <v>337</v>
      </c>
      <c r="E15" s="6" t="str">
        <f>"0,8249"</f>
        <v>0,8249</v>
      </c>
      <c r="F15" s="6" t="s">
        <v>185</v>
      </c>
      <c r="G15" s="7" t="s">
        <v>82</v>
      </c>
      <c r="H15" s="27">
        <v>152</v>
      </c>
      <c r="I15" s="7" t="str">
        <f>"4940,0"</f>
        <v>4940,0</v>
      </c>
      <c r="J15" s="7" t="str">
        <f>"4075,0059"</f>
        <v>4075,0059</v>
      </c>
      <c r="K15" s="6" t="s">
        <v>186</v>
      </c>
    </row>
    <row r="16" ht="12.75">
      <c r="B16" s="4" t="s">
        <v>17</v>
      </c>
    </row>
    <row r="17" spans="1:8" ht="15">
      <c r="A17" s="52" t="s">
        <v>47</v>
      </c>
      <c r="B17" s="52"/>
      <c r="C17" s="52"/>
      <c r="D17" s="52"/>
      <c r="E17" s="52"/>
      <c r="F17" s="52"/>
      <c r="G17" s="52"/>
      <c r="H17" s="52"/>
    </row>
    <row r="18" spans="1:11" ht="12.75">
      <c r="A18" s="9" t="s">
        <v>12</v>
      </c>
      <c r="B18" s="8" t="s">
        <v>338</v>
      </c>
      <c r="C18" s="8" t="s">
        <v>339</v>
      </c>
      <c r="D18" s="8" t="s">
        <v>340</v>
      </c>
      <c r="E18" s="8" t="str">
        <f>"0,7221"</f>
        <v>0,7221</v>
      </c>
      <c r="F18" s="8" t="s">
        <v>185</v>
      </c>
      <c r="G18" s="9" t="s">
        <v>19</v>
      </c>
      <c r="H18" s="24">
        <v>93</v>
      </c>
      <c r="I18" s="9" t="str">
        <f>"3487,5"</f>
        <v>3487,5</v>
      </c>
      <c r="J18" s="9" t="str">
        <f>"2518,3238"</f>
        <v>2518,3238</v>
      </c>
      <c r="K18" s="8" t="s">
        <v>186</v>
      </c>
    </row>
    <row r="19" spans="1:11" ht="12.75">
      <c r="A19" s="13" t="s">
        <v>12</v>
      </c>
      <c r="B19" s="12" t="s">
        <v>159</v>
      </c>
      <c r="C19" s="12" t="s">
        <v>341</v>
      </c>
      <c r="D19" s="12" t="s">
        <v>160</v>
      </c>
      <c r="E19" s="12" t="str">
        <f>"0,7042"</f>
        <v>0,7042</v>
      </c>
      <c r="F19" s="12" t="s">
        <v>94</v>
      </c>
      <c r="G19" s="13" t="s">
        <v>19</v>
      </c>
      <c r="H19" s="25">
        <v>54</v>
      </c>
      <c r="I19" s="13" t="str">
        <f>"2025,0"</f>
        <v>2025,0</v>
      </c>
      <c r="J19" s="13" t="str">
        <f>"2734,8835"</f>
        <v>2734,8835</v>
      </c>
      <c r="K19" s="12" t="s">
        <v>31</v>
      </c>
    </row>
    <row r="20" ht="12.75">
      <c r="B20" s="4" t="s">
        <v>17</v>
      </c>
    </row>
    <row r="21" spans="1:8" ht="15">
      <c r="A21" s="52" t="s">
        <v>52</v>
      </c>
      <c r="B21" s="52"/>
      <c r="C21" s="52"/>
      <c r="D21" s="52"/>
      <c r="E21" s="52"/>
      <c r="F21" s="52"/>
      <c r="G21" s="52"/>
      <c r="H21" s="52"/>
    </row>
    <row r="22" spans="1:11" ht="12.75">
      <c r="A22" s="9" t="s">
        <v>12</v>
      </c>
      <c r="B22" s="8" t="s">
        <v>342</v>
      </c>
      <c r="C22" s="8" t="s">
        <v>343</v>
      </c>
      <c r="D22" s="8" t="s">
        <v>184</v>
      </c>
      <c r="E22" s="8" t="str">
        <f>"0,6743"</f>
        <v>0,6743</v>
      </c>
      <c r="F22" s="8" t="s">
        <v>185</v>
      </c>
      <c r="G22" s="9" t="s">
        <v>20</v>
      </c>
      <c r="H22" s="24">
        <v>409</v>
      </c>
      <c r="I22" s="9" t="str">
        <f>"16360,0"</f>
        <v>16360,0</v>
      </c>
      <c r="J22" s="9" t="str">
        <f>"11030,7301"</f>
        <v>11030,7301</v>
      </c>
      <c r="K22" s="8" t="s">
        <v>186</v>
      </c>
    </row>
    <row r="23" spans="1:11" ht="12.75">
      <c r="A23" s="13" t="s">
        <v>12</v>
      </c>
      <c r="B23" s="12" t="s">
        <v>344</v>
      </c>
      <c r="C23" s="12" t="s">
        <v>345</v>
      </c>
      <c r="D23" s="12" t="s">
        <v>346</v>
      </c>
      <c r="E23" s="12" t="str">
        <f>"0,6682"</f>
        <v>0,6682</v>
      </c>
      <c r="F23" s="30" t="s">
        <v>347</v>
      </c>
      <c r="G23" s="13" t="s">
        <v>20</v>
      </c>
      <c r="H23" s="25">
        <v>141</v>
      </c>
      <c r="I23" s="13" t="str">
        <f>"5640,0"</f>
        <v>5640,0</v>
      </c>
      <c r="J23" s="13" t="str">
        <f>"5694,0011"</f>
        <v>5694,0011</v>
      </c>
      <c r="K23" s="12" t="s">
        <v>348</v>
      </c>
    </row>
    <row r="24" ht="12.75">
      <c r="B24" s="4" t="s">
        <v>17</v>
      </c>
    </row>
    <row r="25" spans="1:8" ht="15">
      <c r="A25" s="52" t="s">
        <v>53</v>
      </c>
      <c r="B25" s="52"/>
      <c r="C25" s="52"/>
      <c r="D25" s="52"/>
      <c r="E25" s="52"/>
      <c r="F25" s="52"/>
      <c r="G25" s="52"/>
      <c r="H25" s="52"/>
    </row>
    <row r="26" spans="1:11" ht="12.75">
      <c r="A26" s="9" t="s">
        <v>12</v>
      </c>
      <c r="B26" s="8" t="s">
        <v>349</v>
      </c>
      <c r="C26" s="8" t="s">
        <v>350</v>
      </c>
      <c r="D26" s="8" t="s">
        <v>351</v>
      </c>
      <c r="E26" s="8" t="str">
        <f>"0,6387"</f>
        <v>0,6387</v>
      </c>
      <c r="F26" s="29" t="s">
        <v>352</v>
      </c>
      <c r="G26" s="9" t="s">
        <v>40</v>
      </c>
      <c r="H26" s="24">
        <v>200</v>
      </c>
      <c r="I26" s="9" t="str">
        <f>"8500,0"</f>
        <v>8500,0</v>
      </c>
      <c r="J26" s="9" t="str">
        <f>"7562,5274"</f>
        <v>7562,5274</v>
      </c>
      <c r="K26" s="8" t="s">
        <v>31</v>
      </c>
    </row>
    <row r="27" spans="1:11" ht="12.75">
      <c r="A27" s="11" t="s">
        <v>23</v>
      </c>
      <c r="B27" s="10" t="s">
        <v>353</v>
      </c>
      <c r="C27" s="10" t="s">
        <v>354</v>
      </c>
      <c r="D27" s="10" t="s">
        <v>355</v>
      </c>
      <c r="E27" s="10" t="str">
        <f>"0,6345"</f>
        <v>0,6345</v>
      </c>
      <c r="F27" s="31" t="s">
        <v>356</v>
      </c>
      <c r="G27" s="11" t="s">
        <v>40</v>
      </c>
      <c r="H27" s="28">
        <v>182</v>
      </c>
      <c r="I27" s="11" t="str">
        <f>"7735,0"</f>
        <v>7735,0</v>
      </c>
      <c r="J27" s="11" t="str">
        <f>"7115,8328"</f>
        <v>7115,8328</v>
      </c>
      <c r="K27" s="10" t="s">
        <v>31</v>
      </c>
    </row>
    <row r="28" spans="1:11" ht="12.75">
      <c r="A28" s="13" t="s">
        <v>27</v>
      </c>
      <c r="B28" s="12" t="s">
        <v>357</v>
      </c>
      <c r="C28" s="12" t="s">
        <v>358</v>
      </c>
      <c r="D28" s="12" t="s">
        <v>101</v>
      </c>
      <c r="E28" s="12" t="str">
        <f>"0,6234"</f>
        <v>0,6234</v>
      </c>
      <c r="F28" s="12" t="s">
        <v>352</v>
      </c>
      <c r="G28" s="13" t="s">
        <v>25</v>
      </c>
      <c r="H28" s="25">
        <v>140</v>
      </c>
      <c r="I28" s="13" t="str">
        <f>"6300,0"</f>
        <v>6300,0</v>
      </c>
      <c r="J28" s="13" t="str">
        <f>"5812,5813"</f>
        <v>5812,5813</v>
      </c>
      <c r="K28" s="12" t="s">
        <v>31</v>
      </c>
    </row>
    <row r="29" ht="12.75">
      <c r="B29" s="4" t="s">
        <v>17</v>
      </c>
    </row>
    <row r="30" spans="1:8" ht="15">
      <c r="A30" s="52" t="s">
        <v>62</v>
      </c>
      <c r="B30" s="52"/>
      <c r="C30" s="52"/>
      <c r="D30" s="52"/>
      <c r="E30" s="52"/>
      <c r="F30" s="52"/>
      <c r="G30" s="52"/>
      <c r="H30" s="52"/>
    </row>
    <row r="31" spans="1:11" ht="12.75">
      <c r="A31" s="7" t="s">
        <v>12</v>
      </c>
      <c r="B31" s="6" t="s">
        <v>359</v>
      </c>
      <c r="C31" s="6" t="s">
        <v>360</v>
      </c>
      <c r="D31" s="6" t="s">
        <v>361</v>
      </c>
      <c r="E31" s="6" t="str">
        <f>"0,5971"</f>
        <v>0,5971</v>
      </c>
      <c r="F31" s="6" t="s">
        <v>185</v>
      </c>
      <c r="G31" s="7" t="s">
        <v>33</v>
      </c>
      <c r="H31" s="27">
        <v>76</v>
      </c>
      <c r="I31" s="7" t="str">
        <f>"3610,0"</f>
        <v>3610,0</v>
      </c>
      <c r="J31" s="7" t="str">
        <f>"2155,5311"</f>
        <v>2155,5311</v>
      </c>
      <c r="K31" s="6" t="s">
        <v>186</v>
      </c>
    </row>
    <row r="32" ht="12.75">
      <c r="B32" s="4" t="s">
        <v>17</v>
      </c>
    </row>
    <row r="33" spans="1:8" ht="15">
      <c r="A33" s="52" t="s">
        <v>67</v>
      </c>
      <c r="B33" s="52"/>
      <c r="C33" s="52"/>
      <c r="D33" s="52"/>
      <c r="E33" s="52"/>
      <c r="F33" s="52"/>
      <c r="G33" s="52"/>
      <c r="H33" s="52"/>
    </row>
    <row r="34" spans="1:11" ht="12.75">
      <c r="A34" s="7" t="s">
        <v>12</v>
      </c>
      <c r="B34" s="6" t="s">
        <v>324</v>
      </c>
      <c r="C34" s="6" t="s">
        <v>325</v>
      </c>
      <c r="D34" s="6" t="s">
        <v>326</v>
      </c>
      <c r="E34" s="6" t="str">
        <f>"0,5561"</f>
        <v>0,5561</v>
      </c>
      <c r="F34" s="6" t="s">
        <v>327</v>
      </c>
      <c r="G34" s="7" t="s">
        <v>22</v>
      </c>
      <c r="H34" s="27">
        <v>44</v>
      </c>
      <c r="I34" s="7" t="str">
        <f>"2640,0"</f>
        <v>2640,0</v>
      </c>
      <c r="J34" s="7" t="str">
        <f>"1468,1040"</f>
        <v>1468,1040</v>
      </c>
      <c r="K34" s="6" t="s">
        <v>31</v>
      </c>
    </row>
    <row r="35" ht="12.75">
      <c r="B35" s="4" t="s">
        <v>17</v>
      </c>
    </row>
  </sheetData>
  <sheetProtection/>
  <mergeCells count="20">
    <mergeCell ref="A30:H30"/>
    <mergeCell ref="A33:H33"/>
    <mergeCell ref="B3:B4"/>
    <mergeCell ref="A8:H8"/>
    <mergeCell ref="A11:H11"/>
    <mergeCell ref="A14:H14"/>
    <mergeCell ref="A17:H17"/>
    <mergeCell ref="A21:H21"/>
    <mergeCell ref="A25:H25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dcterms:created xsi:type="dcterms:W3CDTF">2002-06-16T13:36:44Z</dcterms:created>
  <dcterms:modified xsi:type="dcterms:W3CDTF">2020-12-24T07:24:40Z</dcterms:modified>
  <cp:category/>
  <cp:version/>
  <cp:contentType/>
  <cp:contentStatus/>
</cp:coreProperties>
</file>