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3785" windowHeight="11400" firstSheet="4" activeTab="8"/>
  </bookViews>
  <sheets>
    <sheet name="WRPF BP DT" sheetId="1" r:id="rId1"/>
    <sheet name="WRPF BP" sheetId="2" r:id="rId2"/>
    <sheet name="WRPF BP handicaped" sheetId="3" r:id="rId3"/>
    <sheet name="WEPF BP Single ply DT" sheetId="4" r:id="rId4"/>
    <sheet name="WEPF BP Single ply" sheetId="5" r:id="rId5"/>
    <sheet name="WEPF Soft STD DT" sheetId="6" r:id="rId6"/>
    <sheet name="WEPF Soft STD" sheetId="7" r:id="rId7"/>
    <sheet name="WEPF Soft Ultra DT" sheetId="8" r:id="rId8"/>
    <sheet name="WEPF Soft Ultra" sheetId="9" r:id="rId9"/>
  </sheets>
  <definedNames/>
  <calcPr fullCalcOnLoad="1"/>
</workbook>
</file>

<file path=xl/sharedStrings.xml><?xml version="1.0" encoding="utf-8"?>
<sst xmlns="http://schemas.openxmlformats.org/spreadsheetml/2006/main" count="5277" uniqueCount="1757">
  <si>
    <t>Place</t>
  </si>
  <si>
    <t>Name</t>
  </si>
  <si>
    <t>Age Categoty
Bith date/Age</t>
  </si>
  <si>
    <t>Body
weight</t>
  </si>
  <si>
    <t>Wilks</t>
  </si>
  <si>
    <t>Team</t>
  </si>
  <si>
    <t>Country/Town</t>
  </si>
  <si>
    <t>Benchpress</t>
  </si>
  <si>
    <t>Total</t>
  </si>
  <si>
    <t>Pts</t>
  </si>
  <si>
    <t>Coach</t>
  </si>
  <si>
    <t>Rec</t>
  </si>
  <si>
    <t>Body Weight Category  44</t>
  </si>
  <si>
    <t>-</t>
  </si>
  <si>
    <t>43,30</t>
  </si>
  <si>
    <t>Russia</t>
  </si>
  <si>
    <t>RUS/Moscow</t>
  </si>
  <si>
    <t>87,5</t>
  </si>
  <si>
    <t>90,0</t>
  </si>
  <si>
    <t>95,0</t>
  </si>
  <si>
    <t>50,0</t>
  </si>
  <si>
    <t>55,0</t>
  </si>
  <si>
    <t>105,0</t>
  </si>
  <si>
    <t>0,0</t>
  </si>
  <si>
    <t>1</t>
  </si>
  <si>
    <t>RUS/Ivanovo</t>
  </si>
  <si>
    <t>60,0</t>
  </si>
  <si>
    <t>65,0</t>
  </si>
  <si>
    <t>70,0</t>
  </si>
  <si>
    <t>35,0</t>
  </si>
  <si>
    <t>37,5</t>
  </si>
  <si>
    <t/>
  </si>
  <si>
    <t>Body Weight Category  48</t>
  </si>
  <si>
    <t>110,0</t>
  </si>
  <si>
    <t>115,0</t>
  </si>
  <si>
    <t>57,5</t>
  </si>
  <si>
    <t>117,5</t>
  </si>
  <si>
    <t>independently</t>
  </si>
  <si>
    <t>2</t>
  </si>
  <si>
    <t>Serova Tatyana</t>
  </si>
  <si>
    <t>Open (27.07.1978)/39</t>
  </si>
  <si>
    <t>47,50</t>
  </si>
  <si>
    <t>85,0</t>
  </si>
  <si>
    <t>47,5</t>
  </si>
  <si>
    <t>52,5</t>
  </si>
  <si>
    <t>Shashkov A.</t>
  </si>
  <si>
    <t>82,5</t>
  </si>
  <si>
    <t>Body Weight Category  52</t>
  </si>
  <si>
    <t>80,0</t>
  </si>
  <si>
    <t>42,5</t>
  </si>
  <si>
    <t>Body Weight Category  56</t>
  </si>
  <si>
    <t>40,0</t>
  </si>
  <si>
    <t>77,5</t>
  </si>
  <si>
    <t>Nikolayev A.</t>
  </si>
  <si>
    <t>RUS/Podolsk</t>
  </si>
  <si>
    <t>92,5</t>
  </si>
  <si>
    <t>45,0</t>
  </si>
  <si>
    <t>130,0</t>
  </si>
  <si>
    <t>140,0</t>
  </si>
  <si>
    <t>145,0</t>
  </si>
  <si>
    <t>55,30</t>
  </si>
  <si>
    <t>100,0</t>
  </si>
  <si>
    <t>102,5</t>
  </si>
  <si>
    <t>107,5</t>
  </si>
  <si>
    <t>120,0</t>
  </si>
  <si>
    <t>Body Weight Category  60</t>
  </si>
  <si>
    <t>59,80</t>
  </si>
  <si>
    <t>67,5</t>
  </si>
  <si>
    <t>135,0</t>
  </si>
  <si>
    <t>142,5</t>
  </si>
  <si>
    <t>Russia/Lider</t>
  </si>
  <si>
    <t>62,5</t>
  </si>
  <si>
    <t>3</t>
  </si>
  <si>
    <t>75,0</t>
  </si>
  <si>
    <t>4</t>
  </si>
  <si>
    <t>59,00</t>
  </si>
  <si>
    <t>RUS/Nalchik</t>
  </si>
  <si>
    <t>59,60</t>
  </si>
  <si>
    <t>Body Weight Category  67.5</t>
  </si>
  <si>
    <t>65,30</t>
  </si>
  <si>
    <t>150,0</t>
  </si>
  <si>
    <t>UKR/Donetsk</t>
  </si>
  <si>
    <t>125,0</t>
  </si>
  <si>
    <t>67,40</t>
  </si>
  <si>
    <t>112,5</t>
  </si>
  <si>
    <t>5</t>
  </si>
  <si>
    <t>Kazakhstan</t>
  </si>
  <si>
    <t>KAZ/Almaty</t>
  </si>
  <si>
    <t>RUS/Mytishchi</t>
  </si>
  <si>
    <t>Body Weight Category  75</t>
  </si>
  <si>
    <t>72,90</t>
  </si>
  <si>
    <t>72,5</t>
  </si>
  <si>
    <t>155,0</t>
  </si>
  <si>
    <t>Russia/Territoriya fitnesa</t>
  </si>
  <si>
    <t>Sub Junior 17-19 (01.08.1998)/19</t>
  </si>
  <si>
    <t>127,5</t>
  </si>
  <si>
    <t>97,5</t>
  </si>
  <si>
    <t>58,20</t>
  </si>
  <si>
    <t>RUS/Bryansk</t>
  </si>
  <si>
    <t>66,10</t>
  </si>
  <si>
    <t>RUS/Saratov</t>
  </si>
  <si>
    <t>165,0</t>
  </si>
  <si>
    <t>175,0</t>
  </si>
  <si>
    <t>Rakhmanov V.</t>
  </si>
  <si>
    <t>160,0</t>
  </si>
  <si>
    <t>170,0</t>
  </si>
  <si>
    <t>73,10</t>
  </si>
  <si>
    <t>75,00</t>
  </si>
  <si>
    <t>217,5</t>
  </si>
  <si>
    <t>225,0</t>
  </si>
  <si>
    <t>232,5</t>
  </si>
  <si>
    <t>132,5</t>
  </si>
  <si>
    <t>240,0</t>
  </si>
  <si>
    <t>250,0</t>
  </si>
  <si>
    <t>74,80</t>
  </si>
  <si>
    <t>Belarus</t>
  </si>
  <si>
    <t>200,0</t>
  </si>
  <si>
    <t>210,0</t>
  </si>
  <si>
    <t>215,0</t>
  </si>
  <si>
    <t>137,5</t>
  </si>
  <si>
    <t>230,0</t>
  </si>
  <si>
    <t>252,5</t>
  </si>
  <si>
    <t>RUS/Tolyatti</t>
  </si>
  <si>
    <t>185,0</t>
  </si>
  <si>
    <t>195,0</t>
  </si>
  <si>
    <t>202,5</t>
  </si>
  <si>
    <t>242,5</t>
  </si>
  <si>
    <t>255,0</t>
  </si>
  <si>
    <t>270,0</t>
  </si>
  <si>
    <t>Open (19.09.1984)/33</t>
  </si>
  <si>
    <t>74,10</t>
  </si>
  <si>
    <t>180,0</t>
  </si>
  <si>
    <t>190,0</t>
  </si>
  <si>
    <t>RUS/Safonovo</t>
  </si>
  <si>
    <t>122,5</t>
  </si>
  <si>
    <t>235,0</t>
  </si>
  <si>
    <t>6</t>
  </si>
  <si>
    <t>187,5</t>
  </si>
  <si>
    <t>192,5</t>
  </si>
  <si>
    <t>7</t>
  </si>
  <si>
    <t>74,30</t>
  </si>
  <si>
    <t>Piklyayev D.</t>
  </si>
  <si>
    <t>8</t>
  </si>
  <si>
    <t>71,40</t>
  </si>
  <si>
    <t>Body Weight Category  82.5</t>
  </si>
  <si>
    <t>80,50</t>
  </si>
  <si>
    <t>205,0</t>
  </si>
  <si>
    <t>152,5</t>
  </si>
  <si>
    <t>220,0</t>
  </si>
  <si>
    <t>81,00</t>
  </si>
  <si>
    <t>82,40</t>
  </si>
  <si>
    <t>RUS/Stavropol</t>
  </si>
  <si>
    <t>247,5</t>
  </si>
  <si>
    <t>80,70</t>
  </si>
  <si>
    <t>78,30</t>
  </si>
  <si>
    <t>79,20</t>
  </si>
  <si>
    <t>245,0</t>
  </si>
  <si>
    <t>Shafiyev Furkat</t>
  </si>
  <si>
    <t>80,60</t>
  </si>
  <si>
    <t>Dzhaytabarov M.</t>
  </si>
  <si>
    <t>Body Weight Category  90</t>
  </si>
  <si>
    <t>89,00</t>
  </si>
  <si>
    <t>Kopytin Ivan</t>
  </si>
  <si>
    <t>Sub Junior 17-19 (07.07.1999)/18</t>
  </si>
  <si>
    <t>89,30</t>
  </si>
  <si>
    <t>Ukraine</t>
  </si>
  <si>
    <t>UKR/Alchevsk</t>
  </si>
  <si>
    <t>Gayduchenko A.</t>
  </si>
  <si>
    <t>86,20</t>
  </si>
  <si>
    <t>167,5</t>
  </si>
  <si>
    <t>Sheykin Aleksey</t>
  </si>
  <si>
    <t>Open (24.03.1988)/30</t>
  </si>
  <si>
    <t>90,00</t>
  </si>
  <si>
    <t>BLR/Bobruysk</t>
  </si>
  <si>
    <t>320,0</t>
  </si>
  <si>
    <t>89,50</t>
  </si>
  <si>
    <t>RUS/Monchegorsk</t>
  </si>
  <si>
    <t>237,5</t>
  </si>
  <si>
    <t>Lyapshin S.</t>
  </si>
  <si>
    <t>89,10</t>
  </si>
  <si>
    <t>Suslov N.</t>
  </si>
  <si>
    <t>RUS/Vladimir</t>
  </si>
  <si>
    <t>RUS/Balashikha</t>
  </si>
  <si>
    <t>88,90</t>
  </si>
  <si>
    <t>Body Weight Category  100</t>
  </si>
  <si>
    <t>98,40</t>
  </si>
  <si>
    <t>260,0</t>
  </si>
  <si>
    <t>280,0</t>
  </si>
  <si>
    <t>98,80</t>
  </si>
  <si>
    <t>177,5</t>
  </si>
  <si>
    <t>Junior (15.09.1994)/23</t>
  </si>
  <si>
    <t>99,10</t>
  </si>
  <si>
    <t>265,0</t>
  </si>
  <si>
    <t>275,0</t>
  </si>
  <si>
    <t>172,5</t>
  </si>
  <si>
    <t>290,0</t>
  </si>
  <si>
    <t>96,30</t>
  </si>
  <si>
    <t>99,70</t>
  </si>
  <si>
    <t>RUS/Ruza</t>
  </si>
  <si>
    <t>95,30</t>
  </si>
  <si>
    <t>97,70</t>
  </si>
  <si>
    <t>157,5</t>
  </si>
  <si>
    <t>Lobanov Aleksandr</t>
  </si>
  <si>
    <t>Open (05.04.1994)/24</t>
  </si>
  <si>
    <t>97,60</t>
  </si>
  <si>
    <t>162,5</t>
  </si>
  <si>
    <t>Guseynov Guseyn</t>
  </si>
  <si>
    <t>Master 50-59 (04.01.1966)/52</t>
  </si>
  <si>
    <t>99,20</t>
  </si>
  <si>
    <t>RUS/Makhachkala</t>
  </si>
  <si>
    <t>97,50</t>
  </si>
  <si>
    <t>227,5</t>
  </si>
  <si>
    <t>Body Weight Category  110</t>
  </si>
  <si>
    <t>107,90</t>
  </si>
  <si>
    <t>109,40</t>
  </si>
  <si>
    <t>Open (14.12.1987)/30</t>
  </si>
  <si>
    <t>108,60</t>
  </si>
  <si>
    <t>101,40</t>
  </si>
  <si>
    <t>Belkin Yu.</t>
  </si>
  <si>
    <t>Israpilov Magomedamin</t>
  </si>
  <si>
    <t>Master 40-49 (03.05.1975)/42</t>
  </si>
  <si>
    <t>108,50</t>
  </si>
  <si>
    <t>182,5</t>
  </si>
  <si>
    <t>Gadzhikurbanov B.</t>
  </si>
  <si>
    <t>Body Weight Category  125</t>
  </si>
  <si>
    <t>RUS/Samara</t>
  </si>
  <si>
    <t>Parshikov Ion</t>
  </si>
  <si>
    <t>Junior (14.10.1995)/22</t>
  </si>
  <si>
    <t>113,30</t>
  </si>
  <si>
    <t>RUS/Vyazma</t>
  </si>
  <si>
    <t>277,5</t>
  </si>
  <si>
    <t>Body Weight Category  140</t>
  </si>
  <si>
    <t>Body Weight Category  140+</t>
  </si>
  <si>
    <t>Tadzhikistan</t>
  </si>
  <si>
    <t>TJK/Dushanbe</t>
  </si>
  <si>
    <t>Akhmadbekov A.</t>
  </si>
  <si>
    <t>Best lifters List</t>
  </si>
  <si>
    <t>Women</t>
  </si>
  <si>
    <t>Open</t>
  </si>
  <si>
    <t>Age class</t>
  </si>
  <si>
    <t>WC</t>
  </si>
  <si>
    <t>56,0</t>
  </si>
  <si>
    <t>Man</t>
  </si>
  <si>
    <t>Sub Junior</t>
  </si>
  <si>
    <t>Sub Junior 17-19</t>
  </si>
  <si>
    <t>Junior</t>
  </si>
  <si>
    <t>Master</t>
  </si>
  <si>
    <t>Master 50-59</t>
  </si>
  <si>
    <t>RUS/Novomoskovsk</t>
  </si>
  <si>
    <t>Avramenko I.</t>
  </si>
  <si>
    <t>54,90</t>
  </si>
  <si>
    <t>Saydentsal O.</t>
  </si>
  <si>
    <t>Russia/Sbornaya Udmurtii</t>
  </si>
  <si>
    <t>147,5</t>
  </si>
  <si>
    <t>Master 40-49 (20.09.1977)/40</t>
  </si>
  <si>
    <t>212,5</t>
  </si>
  <si>
    <t>222,5</t>
  </si>
  <si>
    <t>82,50</t>
  </si>
  <si>
    <t>285,0</t>
  </si>
  <si>
    <t>Ramazanov Islam</t>
  </si>
  <si>
    <t>Open (01.05.1991)/26</t>
  </si>
  <si>
    <t>RUS/Derbent</t>
  </si>
  <si>
    <t>Tulparov Sh.</t>
  </si>
  <si>
    <t>81,80</t>
  </si>
  <si>
    <t>RUS/Khimki</t>
  </si>
  <si>
    <t>300,0</t>
  </si>
  <si>
    <t>80,30</t>
  </si>
  <si>
    <t>RUS/Saint Petersburg</t>
  </si>
  <si>
    <t>Kuznetsov A.</t>
  </si>
  <si>
    <t>81,90</t>
  </si>
  <si>
    <t>Iran</t>
  </si>
  <si>
    <t>IRN/Tehran</t>
  </si>
  <si>
    <t>282,5</t>
  </si>
  <si>
    <t>295,0</t>
  </si>
  <si>
    <t>88,80</t>
  </si>
  <si>
    <t>89,20</t>
  </si>
  <si>
    <t>RUS/Uzlovaya</t>
  </si>
  <si>
    <t>Maleyev D.</t>
  </si>
  <si>
    <t>305,0</t>
  </si>
  <si>
    <t>310,0</t>
  </si>
  <si>
    <t>97,90</t>
  </si>
  <si>
    <t>Chayka Yaroslav</t>
  </si>
  <si>
    <t>98,90</t>
  </si>
  <si>
    <t>315,0</t>
  </si>
  <si>
    <t>97,80</t>
  </si>
  <si>
    <t>Russia/World Сlass powerteam</t>
  </si>
  <si>
    <t>RUS/Domodedovo</t>
  </si>
  <si>
    <t>207,5</t>
  </si>
  <si>
    <t>292,5</t>
  </si>
  <si>
    <t>RUS/Lyubertsy</t>
  </si>
  <si>
    <t>RUS/Zhukovskiy</t>
  </si>
  <si>
    <t>Master 40-49 (29.05.1973)/44</t>
  </si>
  <si>
    <t>98,30</t>
  </si>
  <si>
    <t>95,70</t>
  </si>
  <si>
    <t>98,10</t>
  </si>
  <si>
    <t>RUS/Penza</t>
  </si>
  <si>
    <t>99,00</t>
  </si>
  <si>
    <t>110,00</t>
  </si>
  <si>
    <t>Samsonov Yuriy</t>
  </si>
  <si>
    <t>Open (24.08.1982)/35</t>
  </si>
  <si>
    <t>107,60</t>
  </si>
  <si>
    <t>RUS/Angarsk</t>
  </si>
  <si>
    <t>108,70</t>
  </si>
  <si>
    <t>109,00</t>
  </si>
  <si>
    <t>Mirzoyev Gasan</t>
  </si>
  <si>
    <t>Master 50-59 (28.04.1964)/54</t>
  </si>
  <si>
    <t>101,10</t>
  </si>
  <si>
    <t>Shikhgasanov R.</t>
  </si>
  <si>
    <t>330,0</t>
  </si>
  <si>
    <t>355,0</t>
  </si>
  <si>
    <t>RUS/Chita</t>
  </si>
  <si>
    <t>267,5</t>
  </si>
  <si>
    <t>Open (16.09.1984)/33</t>
  </si>
  <si>
    <t>360,0</t>
  </si>
  <si>
    <t>380,0</t>
  </si>
  <si>
    <t>350,0</t>
  </si>
  <si>
    <t>140+</t>
  </si>
  <si>
    <t>Master 40-49</t>
  </si>
  <si>
    <t>Master 60-69</t>
  </si>
  <si>
    <t>Master 70-79</t>
  </si>
  <si>
    <t>Kuznetsova Natalya</t>
  </si>
  <si>
    <t>Master 40-49 (08.03.1976)/42</t>
  </si>
  <si>
    <t>Glushnev A.</t>
  </si>
  <si>
    <t>RUS/Tula</t>
  </si>
  <si>
    <t>Tarasova Valentina</t>
  </si>
  <si>
    <t>Open (07.07.1975)/42</t>
  </si>
  <si>
    <t>50,70</t>
  </si>
  <si>
    <t>Pecheykin O.</t>
  </si>
  <si>
    <t>51,00</t>
  </si>
  <si>
    <t>Russia/Sbornaya Kryma</t>
  </si>
  <si>
    <t>RUS/Simferopol</t>
  </si>
  <si>
    <t>Pokhvatko R.</t>
  </si>
  <si>
    <t>58,90</t>
  </si>
  <si>
    <t>67,50</t>
  </si>
  <si>
    <t>Musayev A.</t>
  </si>
  <si>
    <t>Russia/Karpov Team</t>
  </si>
  <si>
    <t>RUS/Yaroslavl</t>
  </si>
  <si>
    <t>73,50</t>
  </si>
  <si>
    <t>71,70</t>
  </si>
  <si>
    <t>Sharifov Shokhrukh</t>
  </si>
  <si>
    <t>Sub Junior 14-16 (14.05.2002)/15</t>
  </si>
  <si>
    <t>Nasretdinov M.</t>
  </si>
  <si>
    <t>59,90</t>
  </si>
  <si>
    <t>65,50</t>
  </si>
  <si>
    <t>65,20</t>
  </si>
  <si>
    <t>RUS/Nadym</t>
  </si>
  <si>
    <t>Junior (20.06.1995)/22</t>
  </si>
  <si>
    <t>RUS/Lobnya</t>
  </si>
  <si>
    <t>74,00</t>
  </si>
  <si>
    <t>RUS/Istra</t>
  </si>
  <si>
    <t>81,70</t>
  </si>
  <si>
    <t>RUS/Perm</t>
  </si>
  <si>
    <t>76,20</t>
  </si>
  <si>
    <t>Shveyn Sergey</t>
  </si>
  <si>
    <t>Open (27.04.1987)/31</t>
  </si>
  <si>
    <t>81,40</t>
  </si>
  <si>
    <t>Kolomytsev M.</t>
  </si>
  <si>
    <t>81,50</t>
  </si>
  <si>
    <t>80,00</t>
  </si>
  <si>
    <t>RUS/Ryazan</t>
  </si>
  <si>
    <t>Mirzoyev Mukhammad-Ali</t>
  </si>
  <si>
    <t>Sub Junior 17-19 (01.05.1999)/18</t>
  </si>
  <si>
    <t>88,60</t>
  </si>
  <si>
    <t>TJK/Pendzhikent</t>
  </si>
  <si>
    <t>Shigkhasanov Ramazan</t>
  </si>
  <si>
    <t>Smirnov D.</t>
  </si>
  <si>
    <t>RUS/Arhangelsk</t>
  </si>
  <si>
    <t>Open (23.02.1995)/23</t>
  </si>
  <si>
    <t>85,50</t>
  </si>
  <si>
    <t>88,10</t>
  </si>
  <si>
    <t>Varava I.</t>
  </si>
  <si>
    <t>RUS/Anapa</t>
  </si>
  <si>
    <t>96,50</t>
  </si>
  <si>
    <t>95,40</t>
  </si>
  <si>
    <t>Uzbekistan</t>
  </si>
  <si>
    <t>108,10</t>
  </si>
  <si>
    <t>197,5</t>
  </si>
  <si>
    <t>Khamboroyev Azizchon</t>
  </si>
  <si>
    <t>Open (26.04.1994)/24</t>
  </si>
  <si>
    <t>Shokirov I.</t>
  </si>
  <si>
    <t>Zaychuk Igor</t>
  </si>
  <si>
    <t>Open (02.12.1989)/28</t>
  </si>
  <si>
    <t>114,50</t>
  </si>
  <si>
    <t>UKR/Kiyev</t>
  </si>
  <si>
    <t>Kostenko Yu.</t>
  </si>
  <si>
    <t>126,40</t>
  </si>
  <si>
    <t>Open (14.07.1993)/24</t>
  </si>
  <si>
    <t>Barannik Grigoriy</t>
  </si>
  <si>
    <t>Open (09.05.1990)/27</t>
  </si>
  <si>
    <t>52,0</t>
  </si>
  <si>
    <t>55,40</t>
  </si>
  <si>
    <t>74,50</t>
  </si>
  <si>
    <t>KAZ/Kapchagay</t>
  </si>
  <si>
    <t>Kim Andrey</t>
  </si>
  <si>
    <t>Open (27.06.1986)/31</t>
  </si>
  <si>
    <t>Tselovannikov V.</t>
  </si>
  <si>
    <t>Khamidzoda Makhmadsiddik</t>
  </si>
  <si>
    <t>Open (18.07.1990)/27</t>
  </si>
  <si>
    <t>340,0</t>
  </si>
  <si>
    <t>Tyugay Aleksandr</t>
  </si>
  <si>
    <t>Master 50-59 (11.06.1966)/51</t>
  </si>
  <si>
    <t>74,60</t>
  </si>
  <si>
    <t>73,00</t>
  </si>
  <si>
    <t>79,90</t>
  </si>
  <si>
    <t>Aleynikov Yu.</t>
  </si>
  <si>
    <t>272,5</t>
  </si>
  <si>
    <t>82,00</t>
  </si>
  <si>
    <t>79,60</t>
  </si>
  <si>
    <t>RUS/Vorkuta</t>
  </si>
  <si>
    <t>86,10</t>
  </si>
  <si>
    <t>302,5</t>
  </si>
  <si>
    <t>88,40</t>
  </si>
  <si>
    <t>Bondarev Vyacheslav</t>
  </si>
  <si>
    <t>Master 40-49 (27.05.1968)/49</t>
  </si>
  <si>
    <t>Dremenkov Konstantin</t>
  </si>
  <si>
    <t>Master 50-59 (21.07.1966)/51</t>
  </si>
  <si>
    <t>88,20</t>
  </si>
  <si>
    <t>BLR/Brest</t>
  </si>
  <si>
    <t>BLR/Minsk</t>
  </si>
  <si>
    <t>335,0</t>
  </si>
  <si>
    <t>345,0</t>
  </si>
  <si>
    <t>Open (13.05.1988)/29</t>
  </si>
  <si>
    <t>RUS/Chelyabinsk</t>
  </si>
  <si>
    <t>99,40</t>
  </si>
  <si>
    <t>RUS/Ramenskoye</t>
  </si>
  <si>
    <t>99,80</t>
  </si>
  <si>
    <t>97,10</t>
  </si>
  <si>
    <t>9</t>
  </si>
  <si>
    <t>96,90</t>
  </si>
  <si>
    <t>RUS/Baksan</t>
  </si>
  <si>
    <t>Khashpakov M.</t>
  </si>
  <si>
    <t>Estonia</t>
  </si>
  <si>
    <t>Open (15.04.1981)/37</t>
  </si>
  <si>
    <t>109,30</t>
  </si>
  <si>
    <t>106,00</t>
  </si>
  <si>
    <t>RUS/Voskresensk</t>
  </si>
  <si>
    <t>Krasnov N.</t>
  </si>
  <si>
    <t>Open (11.10.1981)/36</t>
  </si>
  <si>
    <t>RUS/Sevastopol</t>
  </si>
  <si>
    <t>Sarychev K.</t>
  </si>
  <si>
    <t>RUS/Kirov</t>
  </si>
  <si>
    <t>370,0</t>
  </si>
  <si>
    <t>400,0</t>
  </si>
  <si>
    <t>420,0</t>
  </si>
  <si>
    <t>55,90</t>
  </si>
  <si>
    <t>Vdovushkin A.</t>
  </si>
  <si>
    <t>Khambabyan Davit</t>
  </si>
  <si>
    <t>Open (01.08.1989)/28</t>
  </si>
  <si>
    <t>74,90</t>
  </si>
  <si>
    <t>Olkhovskiy V.</t>
  </si>
  <si>
    <t>73,20</t>
  </si>
  <si>
    <t>Sukhobok M.</t>
  </si>
  <si>
    <t>87,30</t>
  </si>
  <si>
    <t>RUS/Aprelevka</t>
  </si>
  <si>
    <t>89,80</t>
  </si>
  <si>
    <t>Leonenko Vasiliy</t>
  </si>
  <si>
    <t>88,00</t>
  </si>
  <si>
    <t>Gadzhikurbanov Beglar</t>
  </si>
  <si>
    <t>Open (31.01.1981)/37</t>
  </si>
  <si>
    <t>92,30</t>
  </si>
  <si>
    <t>Israpilov M.</t>
  </si>
  <si>
    <t>Finland</t>
  </si>
  <si>
    <t>FIN/Tampere</t>
  </si>
  <si>
    <t>98,00</t>
  </si>
  <si>
    <t>Ukhanov Sergey</t>
  </si>
  <si>
    <t>Master 40-49 (23.05.1974)/43</t>
  </si>
  <si>
    <t>Pecheykin Oleg</t>
  </si>
  <si>
    <t>Open (09.10.1982)/35</t>
  </si>
  <si>
    <t>UZB/Tashkent</t>
  </si>
  <si>
    <t>Tarasova V.</t>
  </si>
  <si>
    <t>104,60</t>
  </si>
  <si>
    <t>139,00</t>
  </si>
  <si>
    <t>56,00</t>
  </si>
  <si>
    <t>Hilander Maiju</t>
  </si>
  <si>
    <t>Master 60-69 (22.07.1957)/60</t>
  </si>
  <si>
    <t>71,90</t>
  </si>
  <si>
    <t>Sweden</t>
  </si>
  <si>
    <t>RUS/Tver</t>
  </si>
  <si>
    <t>79,50</t>
  </si>
  <si>
    <t>Shchetkin Aleksey</t>
  </si>
  <si>
    <t>Master 40-49 (03.07.1975)/42</t>
  </si>
  <si>
    <t>99,50</t>
  </si>
  <si>
    <t>RUS/Nizhnevartovsk</t>
  </si>
  <si>
    <t>BLR/Grodno</t>
  </si>
  <si>
    <t>Ratkiyens Edgars</t>
  </si>
  <si>
    <t>Open (13.01.1987)/31</t>
  </si>
  <si>
    <t>105,60</t>
  </si>
  <si>
    <t>Latvia</t>
  </si>
  <si>
    <t>LVA/Rezekne</t>
  </si>
  <si>
    <t>106,10</t>
  </si>
  <si>
    <t>Matsur Viktor</t>
  </si>
  <si>
    <t>Master 50-59 (03.06.1965)/52</t>
  </si>
  <si>
    <t>117,80</t>
  </si>
  <si>
    <t>RUS/Voronezh</t>
  </si>
  <si>
    <t>Yeremashvili R.</t>
  </si>
  <si>
    <t>WRPF European championship
WRPF Bench Press with Drug Test
Moscow, 27 - 30 april 2018</t>
  </si>
  <si>
    <t>Result</t>
  </si>
  <si>
    <t>Mochalova Nadezhda</t>
  </si>
  <si>
    <t>Sub Junior 14-16 (22.02.2007)/11</t>
  </si>
  <si>
    <t>39,50</t>
  </si>
  <si>
    <t>Mochalov I.</t>
  </si>
  <si>
    <t>Musayeva Shuana</t>
  </si>
  <si>
    <t>Sub Junior 14-16 (22.05.2007)/10</t>
  </si>
  <si>
    <t>47,40</t>
  </si>
  <si>
    <t>Skorinova Marina</t>
  </si>
  <si>
    <t>Sub Junior 14-16 (29.12.2005)/12</t>
  </si>
  <si>
    <t>45,50</t>
  </si>
  <si>
    <t>27,5</t>
  </si>
  <si>
    <t>30,0</t>
  </si>
  <si>
    <t>Myakishev S.</t>
  </si>
  <si>
    <t>Aleksandrova Oksana</t>
  </si>
  <si>
    <t>Open (10.12.1982)/35</t>
  </si>
  <si>
    <t>47,90</t>
  </si>
  <si>
    <t>Aleksandrov A.</t>
  </si>
  <si>
    <t>Shcherbinina Olesya</t>
  </si>
  <si>
    <t>Open (23.10.1986)/31</t>
  </si>
  <si>
    <t>47,00</t>
  </si>
  <si>
    <t>Burets E.</t>
  </si>
  <si>
    <t>Zulpukarova Olmaskan</t>
  </si>
  <si>
    <t>Open (30.05.1989)/28</t>
  </si>
  <si>
    <t>46,60</t>
  </si>
  <si>
    <t>Gukepsheva Dzhamilya</t>
  </si>
  <si>
    <t>Open (19.09.1987)/30</t>
  </si>
  <si>
    <t>Fassakhova Tatyana</t>
  </si>
  <si>
    <t>Open (03.07.1989)/28</t>
  </si>
  <si>
    <t>51,60</t>
  </si>
  <si>
    <t>RUS/Ekaterinburg</t>
  </si>
  <si>
    <t>Kalabanovskaya Yelena</t>
  </si>
  <si>
    <t>Open (14.06.1982)/35</t>
  </si>
  <si>
    <t>49,50</t>
  </si>
  <si>
    <t>Agafonov A.</t>
  </si>
  <si>
    <t>Telegina Lyubov</t>
  </si>
  <si>
    <t>Open (05.08.1985)/32</t>
  </si>
  <si>
    <t>51,50</t>
  </si>
  <si>
    <t>Master 40-49 (07.07.1975)/42</t>
  </si>
  <si>
    <t>Rogova Yuliya</t>
  </si>
  <si>
    <t>Open (19.07.2000)/17</t>
  </si>
  <si>
    <t>54,00</t>
  </si>
  <si>
    <t>RUS/Meleuz</t>
  </si>
  <si>
    <t>Seredkin S.</t>
  </si>
  <si>
    <t>Vytnova Natalya</t>
  </si>
  <si>
    <t>Open (26.07.1979)/38</t>
  </si>
  <si>
    <t>55,80</t>
  </si>
  <si>
    <t>Iminov E.</t>
  </si>
  <si>
    <t>Korobkova Olga</t>
  </si>
  <si>
    <t>Open (15.07.1982)/35</t>
  </si>
  <si>
    <t>55,10</t>
  </si>
  <si>
    <t>Vinogradov O.</t>
  </si>
  <si>
    <t>Panteleva Yelena</t>
  </si>
  <si>
    <t>Open (05.05.1987)/30</t>
  </si>
  <si>
    <t>Zaytsev E.</t>
  </si>
  <si>
    <t>Sobakina Tatyana</t>
  </si>
  <si>
    <t>Open (23.11.1983)/34</t>
  </si>
  <si>
    <t>54,80</t>
  </si>
  <si>
    <t>RUS/Lubertsy</t>
  </si>
  <si>
    <t>Nikiforov N.</t>
  </si>
  <si>
    <t>Logvinova Diana</t>
  </si>
  <si>
    <t>Junior (17.11.1996)/21</t>
  </si>
  <si>
    <t>RUS/Orel</t>
  </si>
  <si>
    <t>Logvinov A.</t>
  </si>
  <si>
    <t>Biryukova Polina</t>
  </si>
  <si>
    <t>Junior (29.08.1996)/21</t>
  </si>
  <si>
    <t>Volkova Mariya</t>
  </si>
  <si>
    <t>Junior (31.03.1995)/23</t>
  </si>
  <si>
    <t>Lobov S.</t>
  </si>
  <si>
    <t>Detneva Yekaterina</t>
  </si>
  <si>
    <t>Open (26.02.1990)/28</t>
  </si>
  <si>
    <t>59,20</t>
  </si>
  <si>
    <t>RUS/Egoryevsk</t>
  </si>
  <si>
    <t>Sotnikova Svetlana</t>
  </si>
  <si>
    <t>Open (30.01.1983)/35</t>
  </si>
  <si>
    <t>58,80</t>
  </si>
  <si>
    <t>Kogadeyeva D.</t>
  </si>
  <si>
    <t>Verenikina Mariya</t>
  </si>
  <si>
    <t>Open (14.10.1985)/32</t>
  </si>
  <si>
    <t>Nikitin D.</t>
  </si>
  <si>
    <t>Yaremaka Tatyana</t>
  </si>
  <si>
    <t>Open (03.06.1983)/34</t>
  </si>
  <si>
    <t>58,30</t>
  </si>
  <si>
    <t>Naumlyuk S.</t>
  </si>
  <si>
    <t>Kuznetsova Anna</t>
  </si>
  <si>
    <t>Open (21.10.1987)/30</t>
  </si>
  <si>
    <t>RUS/Odintsovo</t>
  </si>
  <si>
    <t>Mazur E.</t>
  </si>
  <si>
    <t>Yekimovskaya Mariya</t>
  </si>
  <si>
    <t>Open (12.09.1989)/28</t>
  </si>
  <si>
    <t>59,40</t>
  </si>
  <si>
    <t>Yevdokimov I.</t>
  </si>
  <si>
    <t>Yakomulskaya Darya</t>
  </si>
  <si>
    <t>Open (13.03.1991)/27</t>
  </si>
  <si>
    <t>59,50</t>
  </si>
  <si>
    <t>Koretskaya Mariya</t>
  </si>
  <si>
    <t>63,50</t>
  </si>
  <si>
    <t>Ivanova Marina</t>
  </si>
  <si>
    <t>Open (04.07.1989)/28</t>
  </si>
  <si>
    <t>61,70</t>
  </si>
  <si>
    <t>RUS/Sayansk</t>
  </si>
  <si>
    <t>Stoyanova Nadezhda</t>
  </si>
  <si>
    <t>Open (21.10.1988)/29</t>
  </si>
  <si>
    <t>61,60</t>
  </si>
  <si>
    <t>Kovalev I.</t>
  </si>
  <si>
    <t>Kruglova Svetlana</t>
  </si>
  <si>
    <t>Master 40-49 (25.01.1978)/40</t>
  </si>
  <si>
    <t>Tarasov D.</t>
  </si>
  <si>
    <t>Smorodina Larisa</t>
  </si>
  <si>
    <t>Master 50-59 (11.08.1966)/51</t>
  </si>
  <si>
    <t>63,80</t>
  </si>
  <si>
    <t>Ponomarenko N.</t>
  </si>
  <si>
    <t>Panko Olga</t>
  </si>
  <si>
    <t>Master 50-59 (30.10.1966)/51</t>
  </si>
  <si>
    <t>60,90</t>
  </si>
  <si>
    <t>Veredina Oksana</t>
  </si>
  <si>
    <t>Open (23.11.1987)/30</t>
  </si>
  <si>
    <t>Pagin A.</t>
  </si>
  <si>
    <t>Byalko Svetlana</t>
  </si>
  <si>
    <t>Open (13.11.1979)/38</t>
  </si>
  <si>
    <t>68,00</t>
  </si>
  <si>
    <t>Strebkova Yelena</t>
  </si>
  <si>
    <t>Master 40-49 (23.02.1971)/47</t>
  </si>
  <si>
    <t>RUS/Troitsk</t>
  </si>
  <si>
    <t>Konstantin F.</t>
  </si>
  <si>
    <t>Kopeykina Yelena</t>
  </si>
  <si>
    <t>Master 40-49 (12.02.1974)/44</t>
  </si>
  <si>
    <t>70,90</t>
  </si>
  <si>
    <t>Traskin Kirill</t>
  </si>
  <si>
    <t>Sub Junior 14-16 (07.08.2004)/13</t>
  </si>
  <si>
    <t>50,20</t>
  </si>
  <si>
    <t>RUS/Velikiye Luki</t>
  </si>
  <si>
    <t>Dokuchayev K., Syumaykin M.</t>
  </si>
  <si>
    <t>Iminov Irkin</t>
  </si>
  <si>
    <t>Master 50-59 (27.07.1959)/58</t>
  </si>
  <si>
    <t>51,30</t>
  </si>
  <si>
    <t>Yusupov Aziz</t>
  </si>
  <si>
    <t>Sub Junior 17-19 (28.12.2000)/17</t>
  </si>
  <si>
    <t>Babayev Z.</t>
  </si>
  <si>
    <t>Ryzhikh Yevgeniy</t>
  </si>
  <si>
    <t>Sub Junior 14-16 (15.05.2000)/17</t>
  </si>
  <si>
    <t>57,80</t>
  </si>
  <si>
    <t>RUS/Krasnoye Selo</t>
  </si>
  <si>
    <t>Zhigulin I.</t>
  </si>
  <si>
    <t>Pedram motie</t>
  </si>
  <si>
    <t>Sub Junior 17-19 (14.01.1999)/19</t>
  </si>
  <si>
    <t>Zhgulev Yevgeniy</t>
  </si>
  <si>
    <t>Junior (29.09.1997)/20</t>
  </si>
  <si>
    <t>Ivachev A.</t>
  </si>
  <si>
    <t>Yuferev Vladislav</t>
  </si>
  <si>
    <t>Junior (02.08.1995)/22</t>
  </si>
  <si>
    <t>Reshetnikov V.</t>
  </si>
  <si>
    <t>Migunov Yegor</t>
  </si>
  <si>
    <t>Sub Junior 14-16 (26.11.2002)/15</t>
  </si>
  <si>
    <t>61,90</t>
  </si>
  <si>
    <t>RUS/Kstovo</t>
  </si>
  <si>
    <t>Koktash Aleksey</t>
  </si>
  <si>
    <t>Sub Junior 14-16 (21.03.2002)/16</t>
  </si>
  <si>
    <t>65,60</t>
  </si>
  <si>
    <t>Sharangiya G.</t>
  </si>
  <si>
    <t>Dublyanskiy Dmitriy</t>
  </si>
  <si>
    <t>Sub Junior 14-16 (27.07.2002)/15</t>
  </si>
  <si>
    <t>67,00</t>
  </si>
  <si>
    <t>Agapov Aleksandr</t>
  </si>
  <si>
    <t>Sub Junior 17-19 (25.08.1999)/18</t>
  </si>
  <si>
    <t>Saedi Seyyedhamid</t>
  </si>
  <si>
    <t>66,80</t>
  </si>
  <si>
    <t>Gorelov Yuriy</t>
  </si>
  <si>
    <t>Junior (24.09.1994)/23</t>
  </si>
  <si>
    <t>Gusev Yegor</t>
  </si>
  <si>
    <t>Junior (12.06.1996)/21</t>
  </si>
  <si>
    <t>64,80</t>
  </si>
  <si>
    <t>Chugurov S.</t>
  </si>
  <si>
    <t>Sandimirov Sergey</t>
  </si>
  <si>
    <t>Junior (30.01.1995)/23</t>
  </si>
  <si>
    <t>RUS/Novoulyanovsk</t>
  </si>
  <si>
    <t>Bektimirov R.</t>
  </si>
  <si>
    <t>Salosalov Sergey</t>
  </si>
  <si>
    <t>Sub Junior 14-16 (11.09.2004)/13</t>
  </si>
  <si>
    <t>118,0</t>
  </si>
  <si>
    <t>Salosalov S.</t>
  </si>
  <si>
    <t>Terin Vladimir</t>
  </si>
  <si>
    <t>Sub Junior 14-16 (18.09.2001)/16</t>
  </si>
  <si>
    <t>73,90</t>
  </si>
  <si>
    <t>Davtyan Grant</t>
  </si>
  <si>
    <t>Sub Junior 17-19 (03.03.2001)/17</t>
  </si>
  <si>
    <t>RUS/Kotelniki</t>
  </si>
  <si>
    <t>Polyakov N.</t>
  </si>
  <si>
    <t>Rukavishnikov Artem</t>
  </si>
  <si>
    <t>Sub Junior 17-19 (11.12.1999)/18</t>
  </si>
  <si>
    <t>Artykov Alekandr</t>
  </si>
  <si>
    <t>Sub Junior 17-19 (26.09.1998)/19</t>
  </si>
  <si>
    <t>Boldinov A.</t>
  </si>
  <si>
    <t>Bukalov Roman</t>
  </si>
  <si>
    <t>Junior (07.05.1994)/23</t>
  </si>
  <si>
    <t>RUS/Klimovsk</t>
  </si>
  <si>
    <t>Semenov Yegor</t>
  </si>
  <si>
    <t>Junior (07.11.1995)/22</t>
  </si>
  <si>
    <t>RUS/Khanty-Mansyisk</t>
  </si>
  <si>
    <t>Reutov Aleksandr</t>
  </si>
  <si>
    <t>Junior (02.07.1994)/23</t>
  </si>
  <si>
    <t>72,80</t>
  </si>
  <si>
    <t>Reutov V.</t>
  </si>
  <si>
    <t>Makhmadkulov Buzurgmekhr</t>
  </si>
  <si>
    <t>Junior (26.06.1996)/21</t>
  </si>
  <si>
    <t>Virabyan Aaron</t>
  </si>
  <si>
    <t>Junior (13.05.1995)/22</t>
  </si>
  <si>
    <t>Denisov Ivan</t>
  </si>
  <si>
    <t>Junior (19.01.1998)/20</t>
  </si>
  <si>
    <t>Goncharov Anton</t>
  </si>
  <si>
    <t>Junior (17.10.1994)/23</t>
  </si>
  <si>
    <t>72,00</t>
  </si>
  <si>
    <t>Mohammad mehdi</t>
  </si>
  <si>
    <t>Open (11.01.1984)/34</t>
  </si>
  <si>
    <t>Atlashkin Vladislav</t>
  </si>
  <si>
    <t>Open (17.06.1985)/32</t>
  </si>
  <si>
    <t>RUS/Yoshkar-Ola</t>
  </si>
  <si>
    <t>Nikolayev Aleksandr</t>
  </si>
  <si>
    <t>Open (06.04.1988)/30</t>
  </si>
  <si>
    <t>RUS/Staryy Oskol</t>
  </si>
  <si>
    <t>Korobov Dmitriy</t>
  </si>
  <si>
    <t>Open (22.07.1990)/27</t>
  </si>
  <si>
    <t>73,70</t>
  </si>
  <si>
    <t>RUS/Velsk</t>
  </si>
  <si>
    <t>Abdulgalimov Ragim</t>
  </si>
  <si>
    <t>Open (19.03.1982)/36</t>
  </si>
  <si>
    <t>RUS/Smolensk</t>
  </si>
  <si>
    <t>Dzhumagulov Azamat</t>
  </si>
  <si>
    <t>Open (14.10.1993)/24</t>
  </si>
  <si>
    <t>73,80</t>
  </si>
  <si>
    <t>RUS/Tumen</t>
  </si>
  <si>
    <t>Denisov Yevgeniy</t>
  </si>
  <si>
    <t>Open (28.12.1987)/30</t>
  </si>
  <si>
    <t>Usov Maksim</t>
  </si>
  <si>
    <t>Open (19.01.1992)/26</t>
  </si>
  <si>
    <t>10</t>
  </si>
  <si>
    <t>Alekseyev Dmitriy</t>
  </si>
  <si>
    <t>Open (21.04.1986)/32</t>
  </si>
  <si>
    <t>RUS/Kazan</t>
  </si>
  <si>
    <t>Radionov A.</t>
  </si>
  <si>
    <t>11</t>
  </si>
  <si>
    <t>Burobin Sergey</t>
  </si>
  <si>
    <t>Open (30.10.1989)/28</t>
  </si>
  <si>
    <t>68,90</t>
  </si>
  <si>
    <t>Kozlov V.</t>
  </si>
  <si>
    <t>12</t>
  </si>
  <si>
    <t>Logutov Viktor</t>
  </si>
  <si>
    <t>Open (20.07.1984)/33</t>
  </si>
  <si>
    <t>13</t>
  </si>
  <si>
    <t>Yatsenko Maksim</t>
  </si>
  <si>
    <t>74,70</t>
  </si>
  <si>
    <t>14</t>
  </si>
  <si>
    <t>Kulikov Aleksey</t>
  </si>
  <si>
    <t>Open (17.02.1993)/25</t>
  </si>
  <si>
    <t>15</t>
  </si>
  <si>
    <t>Kondrashev Kirill</t>
  </si>
  <si>
    <t>Open (14.01.1987)/31</t>
  </si>
  <si>
    <t>16</t>
  </si>
  <si>
    <t>Sukhikh Aleksandr</t>
  </si>
  <si>
    <t>Open (26.02.1989)/29</t>
  </si>
  <si>
    <t>Rusu Denis</t>
  </si>
  <si>
    <t>Open (25.11.1984)/33</t>
  </si>
  <si>
    <t>Vasilyev Roman</t>
  </si>
  <si>
    <t>Master 40-49 (10.02.1973)/45</t>
  </si>
  <si>
    <t>Novikov Andrey</t>
  </si>
  <si>
    <t>Master 40-49 (08.07.1969)/48</t>
  </si>
  <si>
    <t>Destanikolagar Ali</t>
  </si>
  <si>
    <t>Master 60-69 (30.03.1956)/62</t>
  </si>
  <si>
    <t>Nishonov Abdurashid</t>
  </si>
  <si>
    <t>Sub Junior 17-19 (17.07.1998)/19</t>
  </si>
  <si>
    <t>81,30</t>
  </si>
  <si>
    <t>UZB/Chirchik</t>
  </si>
  <si>
    <t>Kazaryan A.</t>
  </si>
  <si>
    <t>Ushkov Valeriy</t>
  </si>
  <si>
    <t>Junior (21.04.1996)/22</t>
  </si>
  <si>
    <t>80,40</t>
  </si>
  <si>
    <t>RUS/Nizhniy Novgorod</t>
  </si>
  <si>
    <t>Akimov V.</t>
  </si>
  <si>
    <t>Senkin Stanislav</t>
  </si>
  <si>
    <t>Junior (22.01.1996)/22</t>
  </si>
  <si>
    <t>Poldyayev Daniil</t>
  </si>
  <si>
    <t>Junior (16.12.1997)/20</t>
  </si>
  <si>
    <t>Poldyayev S.</t>
  </si>
  <si>
    <t>Bektemirov Ramil</t>
  </si>
  <si>
    <t>Open (08.09.1987)/30</t>
  </si>
  <si>
    <t>Mohammadali mohseni</t>
  </si>
  <si>
    <t>Open (06.09.1985)/32</t>
  </si>
  <si>
    <t>77,50</t>
  </si>
  <si>
    <t>Ostanko Denis</t>
  </si>
  <si>
    <t>Open (04.07.1990)/27</t>
  </si>
  <si>
    <t>RUS/Dolgoprudniy</t>
  </si>
  <si>
    <t>Zhumadilov Oleg</t>
  </si>
  <si>
    <t>Open (07.04.1986)/32</t>
  </si>
  <si>
    <t>81,10</t>
  </si>
  <si>
    <t>EST/Tallin</t>
  </si>
  <si>
    <t>Lagoda Vladimir</t>
  </si>
  <si>
    <t>Open (04.12.1968)/49</t>
  </si>
  <si>
    <t>Mansurov Stanislav</t>
  </si>
  <si>
    <t>Open (06.11.1989)/28</t>
  </si>
  <si>
    <t>RUS/Sovetsk</t>
  </si>
  <si>
    <t>Vladimirov Vladimir</t>
  </si>
  <si>
    <t>Open (30.04.1993)/24</t>
  </si>
  <si>
    <t>77,60</t>
  </si>
  <si>
    <t>Parfenov Nikita</t>
  </si>
  <si>
    <t>Open (04.11.1988)/29</t>
  </si>
  <si>
    <t>Shirkov Maksim</t>
  </si>
  <si>
    <t>Open (24.05.1993)/24</t>
  </si>
  <si>
    <t>Shirkov S.</t>
  </si>
  <si>
    <t>Golubka Artem</t>
  </si>
  <si>
    <t>Open (27.08.1984)/33</t>
  </si>
  <si>
    <t>RUS/Kaduy</t>
  </si>
  <si>
    <t>Kvatadze Vladimir</t>
  </si>
  <si>
    <t>Open (06.06.1986)/31</t>
  </si>
  <si>
    <t>82,10</t>
  </si>
  <si>
    <t>Yurshin Yevgeniy</t>
  </si>
  <si>
    <t>Open (01.05.1989)/28</t>
  </si>
  <si>
    <t>RUS/Usinsk</t>
  </si>
  <si>
    <t>Piskunov Aleksandr</t>
  </si>
  <si>
    <t>Open (23.09.1982)/35</t>
  </si>
  <si>
    <t>RUS/Shelkovo</t>
  </si>
  <si>
    <t>Savchenko Denis</t>
  </si>
  <si>
    <t>Open (20.09.1993)/24</t>
  </si>
  <si>
    <t>78,60</t>
  </si>
  <si>
    <t>Mozhginskiy Mikhail</t>
  </si>
  <si>
    <t>Open (15.10.1981)/36</t>
  </si>
  <si>
    <t>Yakunin Aleksey</t>
  </si>
  <si>
    <t>Open (24.10.1992)/25</t>
  </si>
  <si>
    <t>Rasulov Elvin</t>
  </si>
  <si>
    <t>Open (28.10.1987)/30</t>
  </si>
  <si>
    <t>Master 40-49 (04.12.1968)/49</t>
  </si>
  <si>
    <t>Sytnik Aleksandr</t>
  </si>
  <si>
    <t>Master 40-49 (27.01.1976)/42</t>
  </si>
  <si>
    <t>Semenov Aleksandr</t>
  </si>
  <si>
    <t>Master 40-49 (03.02.1977)/41</t>
  </si>
  <si>
    <t>Abasov Emin</t>
  </si>
  <si>
    <t>Master 40-49 (25.10.1975)/42</t>
  </si>
  <si>
    <t>Krasnov Nikolay</t>
  </si>
  <si>
    <t>Master 50-59 (22.07.1960)/57</t>
  </si>
  <si>
    <t>Motie Biavaz</t>
  </si>
  <si>
    <t>Master 50-59 (01.05.1964)/53</t>
  </si>
  <si>
    <t>77,70</t>
  </si>
  <si>
    <t>Lubkov Nikolay</t>
  </si>
  <si>
    <t>Master 50-59 (10.09.1959)/58</t>
  </si>
  <si>
    <t>78,50</t>
  </si>
  <si>
    <t>RUS/Davydovskoe</t>
  </si>
  <si>
    <t>Tokarev Mikhail</t>
  </si>
  <si>
    <t>Master 50-59 (10.06.1966)/51</t>
  </si>
  <si>
    <t>Mosin Vasiliy</t>
  </si>
  <si>
    <t>Master 60-69 (09.06.1956)/61</t>
  </si>
  <si>
    <t>Kuznetsov Yegor</t>
  </si>
  <si>
    <t>Sub Junior 14-16 (22.05.2004)/13</t>
  </si>
  <si>
    <t>Khramtsov Aleksey</t>
  </si>
  <si>
    <t>Sub Junior 17-19 (22.09.1998)/19</t>
  </si>
  <si>
    <t>86,80</t>
  </si>
  <si>
    <t>Serkin Ilya</t>
  </si>
  <si>
    <t>Junior (14.05.1995)/22</t>
  </si>
  <si>
    <t>RUS/Armavir</t>
  </si>
  <si>
    <t>Norouzi Mohammad</t>
  </si>
  <si>
    <t>Junior (23.08.1997)/20</t>
  </si>
  <si>
    <t>84,50</t>
  </si>
  <si>
    <t>Chernomorets Aleksandr</t>
  </si>
  <si>
    <t>Junior (19.02.1996)/22</t>
  </si>
  <si>
    <t>Gerasimov Vasiliy</t>
  </si>
  <si>
    <t>Junior (06.02.1996)/22</t>
  </si>
  <si>
    <t>RUS/Cheboksary</t>
  </si>
  <si>
    <t>Vorontsov Ilya</t>
  </si>
  <si>
    <t>Open (07.12.1982)/35</t>
  </si>
  <si>
    <t>86,30</t>
  </si>
  <si>
    <t>Smolenkov V.</t>
  </si>
  <si>
    <t>Pokotilov Aleksey</t>
  </si>
  <si>
    <t>Open (04.03.1987)/31</t>
  </si>
  <si>
    <t>87,80</t>
  </si>
  <si>
    <t>Kuvezenkov Konstantin</t>
  </si>
  <si>
    <t>Open (06.01.1981)/37</t>
  </si>
  <si>
    <t>Ushakov A.</t>
  </si>
  <si>
    <t>Shvetsov Yevgeniy</t>
  </si>
  <si>
    <t>Open (20.12.1974)/43</t>
  </si>
  <si>
    <t>Belousov P.</t>
  </si>
  <si>
    <t>Pshikhachev Akhyard</t>
  </si>
  <si>
    <t>Open (29.07.1985)/32</t>
  </si>
  <si>
    <t>Shafigullin Ramil</t>
  </si>
  <si>
    <t>Open (31.03.1987)/31</t>
  </si>
  <si>
    <t>RUS/Izhevsk</t>
  </si>
  <si>
    <t>Mikhaylov Nikolay</t>
  </si>
  <si>
    <t>Open (29.01.1989)/29</t>
  </si>
  <si>
    <t>RUS/Zvenigorod</t>
  </si>
  <si>
    <t>Repkin Aleksey</t>
  </si>
  <si>
    <t>Open (21.10.1993)/24</t>
  </si>
  <si>
    <t>Romanov Sergey</t>
  </si>
  <si>
    <t>Open (06.03.1985)/33</t>
  </si>
  <si>
    <t>Tochenyy Grigoriy</t>
  </si>
  <si>
    <t>Open (14.07.1992)/25</t>
  </si>
  <si>
    <t>Anisimov Aleksey</t>
  </si>
  <si>
    <t>Open (25.02.1992)/26</t>
  </si>
  <si>
    <t>RUS/Zhizdra</t>
  </si>
  <si>
    <t>Bogdanov Vladislav</t>
  </si>
  <si>
    <t>Open (17.07.1989)/28</t>
  </si>
  <si>
    <t>Tafara Stefan</t>
  </si>
  <si>
    <t>Open (21.08.1986)/31</t>
  </si>
  <si>
    <t>Viktor P.</t>
  </si>
  <si>
    <t>Podurushin Anton</t>
  </si>
  <si>
    <t>Open (03.03.1986)/32</t>
  </si>
  <si>
    <t>84,60</t>
  </si>
  <si>
    <t>Danilov Andrey</t>
  </si>
  <si>
    <t>Open (12.07.1989)/28</t>
  </si>
  <si>
    <t>87,10</t>
  </si>
  <si>
    <t>RUS/Sochi</t>
  </si>
  <si>
    <t>Naumov A.</t>
  </si>
  <si>
    <t>17</t>
  </si>
  <si>
    <t>Yakhimovich Vladimir</t>
  </si>
  <si>
    <t>Open (22.04.1986)/32</t>
  </si>
  <si>
    <t>RUS/Irkutsk</t>
  </si>
  <si>
    <t>Kabanov I.</t>
  </si>
  <si>
    <t>18</t>
  </si>
  <si>
    <t>Davydov Aleksandr</t>
  </si>
  <si>
    <t>Open (26.04.1990)/28</t>
  </si>
  <si>
    <t>86,50</t>
  </si>
  <si>
    <t>19</t>
  </si>
  <si>
    <t>Arkhipov Artem</t>
  </si>
  <si>
    <t>Open (11.11.1989)/28</t>
  </si>
  <si>
    <t>87,20</t>
  </si>
  <si>
    <t>20</t>
  </si>
  <si>
    <t>Frolov Pavel</t>
  </si>
  <si>
    <t>Open (16.07.1990)/27</t>
  </si>
  <si>
    <t>Krasilnikov S.</t>
  </si>
  <si>
    <t>Mazur Yevgeniy</t>
  </si>
  <si>
    <t>Open (30.11.1990)/27</t>
  </si>
  <si>
    <t>Sevastyanov Vladimir</t>
  </si>
  <si>
    <t>Open (26.04.1986)/32</t>
  </si>
  <si>
    <t>88,30</t>
  </si>
  <si>
    <t>Rashid sabeghi</t>
  </si>
  <si>
    <t>Master 40-49 (08.05.1973)/44</t>
  </si>
  <si>
    <t>Master 40-49 (20.12.1974)/43</t>
  </si>
  <si>
    <t>Volkov Vyacheslav</t>
  </si>
  <si>
    <t>Master 40-49 (13.11.1971)/46</t>
  </si>
  <si>
    <t>RUS/Zelenogradsk</t>
  </si>
  <si>
    <t>Nikanorov Dmitriy</t>
  </si>
  <si>
    <t>Master 40-49 (29.10.1971)/46</t>
  </si>
  <si>
    <t>Gordyakov Yu.</t>
  </si>
  <si>
    <t>Sigitov Konstantin</t>
  </si>
  <si>
    <t>Master 40-49 (10.05.1972)/45</t>
  </si>
  <si>
    <t>88,70</t>
  </si>
  <si>
    <t>Nikitin Igor</t>
  </si>
  <si>
    <t>Master 40-49 (25.02.1976)/42</t>
  </si>
  <si>
    <t>87,40</t>
  </si>
  <si>
    <t>127,6</t>
  </si>
  <si>
    <t>Siluyanov Aleksandr</t>
  </si>
  <si>
    <t>Master 60-69 (23.06.1954)/63</t>
  </si>
  <si>
    <t>133,0</t>
  </si>
  <si>
    <t>Rogalev Aleksandr</t>
  </si>
  <si>
    <t>Master 60-69 (08.08.1957)/60</t>
  </si>
  <si>
    <t>85,10</t>
  </si>
  <si>
    <t>Kopylov V.</t>
  </si>
  <si>
    <t>Shityakov Sergey</t>
  </si>
  <si>
    <t>Sub Junior 17-19 (13.08.2000)/17</t>
  </si>
  <si>
    <t>93,40</t>
  </si>
  <si>
    <t>Blinkov E.</t>
  </si>
  <si>
    <t>Pshonkin Artem</t>
  </si>
  <si>
    <t>Junior (26.04.1996)/22</t>
  </si>
  <si>
    <t>Legchayev Roman</t>
  </si>
  <si>
    <t>Junior (03.12.1995)/22</t>
  </si>
  <si>
    <t>Sorokin Semen</t>
  </si>
  <si>
    <t>Junior (19.04.1997)/21</t>
  </si>
  <si>
    <t>Ivanov Dmitriy</t>
  </si>
  <si>
    <t>Open (16.07.1993)/24</t>
  </si>
  <si>
    <t>Beloval E.</t>
  </si>
  <si>
    <t>Open (23.05.1974)/43</t>
  </si>
  <si>
    <t>Zhiganov Mikhail</t>
  </si>
  <si>
    <t>Open (07.06.1981)/36</t>
  </si>
  <si>
    <t>RUS/Pushchino</t>
  </si>
  <si>
    <t>Ryzhov Aleksandr</t>
  </si>
  <si>
    <t>Open (25.05.1988)/29</t>
  </si>
  <si>
    <t>RUS/Chekhov</t>
  </si>
  <si>
    <t>Ishin Andrey</t>
  </si>
  <si>
    <t>Open (24.05.1988)/29</t>
  </si>
  <si>
    <t>Polyakov Nikolay</t>
  </si>
  <si>
    <t>Open (21.05.1984)/33</t>
  </si>
  <si>
    <t>91,70</t>
  </si>
  <si>
    <t>Polyakova Yu.</t>
  </si>
  <si>
    <t>Panov Aleksandr</t>
  </si>
  <si>
    <t>Open (01.12.1983)/34</t>
  </si>
  <si>
    <t>Belyshev Artem</t>
  </si>
  <si>
    <t>Open (15.02.1991)/27</t>
  </si>
  <si>
    <t>95,10</t>
  </si>
  <si>
    <t>Andriyashev Ruslan</t>
  </si>
  <si>
    <t>Open (24.06.1992)/25</t>
  </si>
  <si>
    <t>UKR/Kirovsk</t>
  </si>
  <si>
    <t>Shapovalov R.</t>
  </si>
  <si>
    <t>Gadzaov Vladimir</t>
  </si>
  <si>
    <t>Open (06.09.1990)/27</t>
  </si>
  <si>
    <t>97,00</t>
  </si>
  <si>
    <t>Michurin Anton</t>
  </si>
  <si>
    <t>Kushnarev O.</t>
  </si>
  <si>
    <t>Babayev Zamir</t>
  </si>
  <si>
    <t>98,50</t>
  </si>
  <si>
    <t>RUS/Kurakh</t>
  </si>
  <si>
    <t>Getmanchuk Anton</t>
  </si>
  <si>
    <t>Open (07.07.1981)/36</t>
  </si>
  <si>
    <t>98,70</t>
  </si>
  <si>
    <t>Simanov Aleksey</t>
  </si>
  <si>
    <t>Open (31.03.1981)/37</t>
  </si>
  <si>
    <t>Veremenko Kirill</t>
  </si>
  <si>
    <t>Open (09.03.1987)/31</t>
  </si>
  <si>
    <t>RUS/Kaliningrad</t>
  </si>
  <si>
    <t>Sadykov Maksim</t>
  </si>
  <si>
    <t>Open (14.04.1990)/28</t>
  </si>
  <si>
    <t>Medyanskiy Yevgeniy</t>
  </si>
  <si>
    <t>Open (02.10.1988)/29</t>
  </si>
  <si>
    <t>Varezhkin Aleksandr</t>
  </si>
  <si>
    <t>Open (08.09.1991)/26</t>
  </si>
  <si>
    <t>94,90</t>
  </si>
  <si>
    <t>RUS/Taldom</t>
  </si>
  <si>
    <t>Fedyukov D.</t>
  </si>
  <si>
    <t>Romakhin Yuriy</t>
  </si>
  <si>
    <t>21</t>
  </si>
  <si>
    <t>Kozlov Nikolay</t>
  </si>
  <si>
    <t>Open (29.06.1985)/32</t>
  </si>
  <si>
    <t>96,00</t>
  </si>
  <si>
    <t>Akhmetov R.</t>
  </si>
  <si>
    <t>22</t>
  </si>
  <si>
    <t>Lutsenko Andrey</t>
  </si>
  <si>
    <t>Open (20.12.1991)/26</t>
  </si>
  <si>
    <t>Trufyakov Aleksandr</t>
  </si>
  <si>
    <t>Master 40-49 (17.08.1975)/42</t>
  </si>
  <si>
    <t>96,10</t>
  </si>
  <si>
    <t>RUS/Noyabrsk</t>
  </si>
  <si>
    <t>Kovalskiy Aleksey</t>
  </si>
  <si>
    <t>Master 40-49 (25.12.1975)/42</t>
  </si>
  <si>
    <t>Yezhkov Andrey</t>
  </si>
  <si>
    <t>Master 50-59 (08.06.1967)/50</t>
  </si>
  <si>
    <t>Vasilyev Valeriy</t>
  </si>
  <si>
    <t>Master 70-79 (19.09.1947)/70</t>
  </si>
  <si>
    <t>Klimovich Vyacheslav</t>
  </si>
  <si>
    <t>103,40</t>
  </si>
  <si>
    <t>Khudinyan Robert</t>
  </si>
  <si>
    <t>Junior (22.04.1995)/23</t>
  </si>
  <si>
    <t>107,50</t>
  </si>
  <si>
    <t>Ivanov Sergey</t>
  </si>
  <si>
    <t>Junior (19.10.1996)/21</t>
  </si>
  <si>
    <t>102,50</t>
  </si>
  <si>
    <t>Hemati Porya</t>
  </si>
  <si>
    <t>Junior (03.08.1994)/23</t>
  </si>
  <si>
    <t>103,10</t>
  </si>
  <si>
    <t>Tsiplyayev Gleb</t>
  </si>
  <si>
    <t>Junior (28.02.1996)/22</t>
  </si>
  <si>
    <t>Makushka Vladislav</t>
  </si>
  <si>
    <t>Junior (15.06.1995)/22</t>
  </si>
  <si>
    <t>RUS/Lugansk</t>
  </si>
  <si>
    <t>Smirnov Vadim</t>
  </si>
  <si>
    <t>Open (13.10.1982)/35</t>
  </si>
  <si>
    <t>103,90</t>
  </si>
  <si>
    <t>RUS/Krasnoyarsk</t>
  </si>
  <si>
    <t>Kadochnikov Aleksandr</t>
  </si>
  <si>
    <t>Open (26.07.1990)/27</t>
  </si>
  <si>
    <t>105,50</t>
  </si>
  <si>
    <t>RUS/Kemerovo</t>
  </si>
  <si>
    <t>Bakhmudov Magomedemin</t>
  </si>
  <si>
    <t>Open (17.02.1989)/29</t>
  </si>
  <si>
    <t>107,80</t>
  </si>
  <si>
    <t>M-Murad</t>
  </si>
  <si>
    <t>Koblik Dmitriy</t>
  </si>
  <si>
    <t>Open (20.08.1993)/24</t>
  </si>
  <si>
    <t>Golovinskiy D.</t>
  </si>
  <si>
    <t>Tulin Denis</t>
  </si>
  <si>
    <t>Open (13.02.1983)/35</t>
  </si>
  <si>
    <t>106,30</t>
  </si>
  <si>
    <t>Open (29.09.1980)/37</t>
  </si>
  <si>
    <t>107,30</t>
  </si>
  <si>
    <t>RUS/Pushkino</t>
  </si>
  <si>
    <t>Ovcharov Sergey</t>
  </si>
  <si>
    <t>Open (14.08.1979)/38</t>
  </si>
  <si>
    <t>Mozhev Nikolay</t>
  </si>
  <si>
    <t>Open (01.12.1989)/28</t>
  </si>
  <si>
    <t>108,80</t>
  </si>
  <si>
    <t>Kashirskiy A.</t>
  </si>
  <si>
    <t>Grishin Yevgeniy</t>
  </si>
  <si>
    <t>Open (05.07.1987)/30</t>
  </si>
  <si>
    <t>106,50</t>
  </si>
  <si>
    <t>Yepishin Artem</t>
  </si>
  <si>
    <t>Open (16.04.1982)/36</t>
  </si>
  <si>
    <t>Foad Zarei</t>
  </si>
  <si>
    <t>103,30</t>
  </si>
  <si>
    <t>Bashkirov Sergey</t>
  </si>
  <si>
    <t>Open (17.01.1986)/32</t>
  </si>
  <si>
    <t>Nenartovich Dmitriy</t>
  </si>
  <si>
    <t>Open (21.12.1987)/30</t>
  </si>
  <si>
    <t>101,90</t>
  </si>
  <si>
    <t>Nenartovich D.</t>
  </si>
  <si>
    <t>Kozlovskiy Yuriy</t>
  </si>
  <si>
    <t>Open (06.03.1993)/25</t>
  </si>
  <si>
    <t>106,80</t>
  </si>
  <si>
    <t>Lipovskiy Sergey</t>
  </si>
  <si>
    <t>Drozdov Igor</t>
  </si>
  <si>
    <t>Master 40-49 (14.02.1977)/41</t>
  </si>
  <si>
    <t>RUS/Belgorod</t>
  </si>
  <si>
    <t>Kiselev B.</t>
  </si>
  <si>
    <t>Hosseini Seyed</t>
  </si>
  <si>
    <t>105,30</t>
  </si>
  <si>
    <t>Kireyev Dmitriy</t>
  </si>
  <si>
    <t>Master 40-49 (25.08.1969)/48</t>
  </si>
  <si>
    <t>Suvorov Yuriy</t>
  </si>
  <si>
    <t>Master 50-59 (22.11.1965)/52</t>
  </si>
  <si>
    <t>Mikhail K.</t>
  </si>
  <si>
    <t>Kurotchenko Igor</t>
  </si>
  <si>
    <t>Master 50-59 (20.03.1962)/56</t>
  </si>
  <si>
    <t>Karpov Ilya</t>
  </si>
  <si>
    <t>Open (29.06.1993)/24</t>
  </si>
  <si>
    <t>113,80</t>
  </si>
  <si>
    <t>Starshov-Klementyev Aleksey</t>
  </si>
  <si>
    <t>Open (02.07.1978)/39</t>
  </si>
  <si>
    <t>118,30</t>
  </si>
  <si>
    <t>Bauer Nikolay</t>
  </si>
  <si>
    <t>Open (17.04.1978)/40</t>
  </si>
  <si>
    <t>114,20</t>
  </si>
  <si>
    <t>Usynin Konstantin</t>
  </si>
  <si>
    <t>117,20</t>
  </si>
  <si>
    <t>Gosman Dmitriy</t>
  </si>
  <si>
    <t>Open (22.05.1993)/24</t>
  </si>
  <si>
    <t>122,30</t>
  </si>
  <si>
    <t>Smirnov Konstantin</t>
  </si>
  <si>
    <t>Open (12.10.1989)/28</t>
  </si>
  <si>
    <t>116,50</t>
  </si>
  <si>
    <t>Master 40-49 (17.04.1978)/40</t>
  </si>
  <si>
    <t>Gordyakov Yuriy</t>
  </si>
  <si>
    <t>Master 40-49 (27.04.1976)/42</t>
  </si>
  <si>
    <t>121,80</t>
  </si>
  <si>
    <t>Zakharov Sergey</t>
  </si>
  <si>
    <t>Master 40-49 (27.09.1974)/43</t>
  </si>
  <si>
    <t>121,50</t>
  </si>
  <si>
    <t>Kranov N.</t>
  </si>
  <si>
    <t>Zherelov Aleksey</t>
  </si>
  <si>
    <t>Open (16.09.1990)/27</t>
  </si>
  <si>
    <t>136,50</t>
  </si>
  <si>
    <t>RUS/Kineshma</t>
  </si>
  <si>
    <t>Nikitenko A.</t>
  </si>
  <si>
    <t>Svetov Sergey</t>
  </si>
  <si>
    <t>Open (06.01.1990)/28</t>
  </si>
  <si>
    <t>125,70</t>
  </si>
  <si>
    <t>Chubarov Vladimir</t>
  </si>
  <si>
    <t>Master 50-59 (03.04.1964)/54</t>
  </si>
  <si>
    <t>Shprints Lev</t>
  </si>
  <si>
    <t>Master 60-69 (12.06.1952)/65</t>
  </si>
  <si>
    <t>126,50</t>
  </si>
  <si>
    <t>Nikiforov Aleksandr</t>
  </si>
  <si>
    <t>Open (18.10.1973)/44</t>
  </si>
  <si>
    <t>143,30</t>
  </si>
  <si>
    <t>103,0265</t>
  </si>
  <si>
    <t>Lyubtsov Aleksandr</t>
  </si>
  <si>
    <t>Open (30.11.1984)/33</t>
  </si>
  <si>
    <t>156,80</t>
  </si>
  <si>
    <t>Trofimov Boris</t>
  </si>
  <si>
    <t>Master 40-49 (21.03.1972)/46</t>
  </si>
  <si>
    <t>151,90</t>
  </si>
  <si>
    <t>RUS/Gukovo</t>
  </si>
  <si>
    <t>Master 40-49 (18.10.1973)/44</t>
  </si>
  <si>
    <t>96,8480</t>
  </si>
  <si>
    <t>96,0840</t>
  </si>
  <si>
    <t>92,1548</t>
  </si>
  <si>
    <t>109,4120</t>
  </si>
  <si>
    <t>105,2078</t>
  </si>
  <si>
    <t>Sub Junior 14-16</t>
  </si>
  <si>
    <t>99,5160</t>
  </si>
  <si>
    <t>111,0460</t>
  </si>
  <si>
    <t>110,6545</t>
  </si>
  <si>
    <t>109,6680</t>
  </si>
  <si>
    <t>131,8350</t>
  </si>
  <si>
    <t>127,6800</t>
  </si>
  <si>
    <t>125,9580</t>
  </si>
  <si>
    <t>149,9043</t>
  </si>
  <si>
    <t>142,8910</t>
  </si>
  <si>
    <t>139,1487</t>
  </si>
  <si>
    <t>WRPF European championship
WRPF Bench Press
Moscow, 27 - 30 april 2018</t>
  </si>
  <si>
    <t>Velial Nika</t>
  </si>
  <si>
    <t>Open (25.11.1992)/25</t>
  </si>
  <si>
    <t>Zubkov P.</t>
  </si>
  <si>
    <t>Samarina Natalya</t>
  </si>
  <si>
    <t>Open (27.06.1984)/33</t>
  </si>
  <si>
    <t>64,60</t>
  </si>
  <si>
    <t>Sergeyeva Yelena</t>
  </si>
  <si>
    <t>Open (21.03.1982)/36</t>
  </si>
  <si>
    <t>Filatov E.</t>
  </si>
  <si>
    <t>Kazarina Anna</t>
  </si>
  <si>
    <t>Open (21.01.1985)/33</t>
  </si>
  <si>
    <t>66,40</t>
  </si>
  <si>
    <t>Pavlov A.</t>
  </si>
  <si>
    <t>Ignatovich Olga</t>
  </si>
  <si>
    <t>Open (14.04.1989)/29</t>
  </si>
  <si>
    <t>66,60</t>
  </si>
  <si>
    <t>Abidzhba R.</t>
  </si>
  <si>
    <t>Fedotova Yekaterina</t>
  </si>
  <si>
    <t>Open (13.11.1982)/35</t>
  </si>
  <si>
    <t>65,40</t>
  </si>
  <si>
    <t>Rodnina Anna</t>
  </si>
  <si>
    <t>Open (28.04.1984)/34</t>
  </si>
  <si>
    <t>RUS/Rostov-na-Donu</t>
  </si>
  <si>
    <t>Rodnin R.</t>
  </si>
  <si>
    <t>Kichigin Nikita</t>
  </si>
  <si>
    <t>Sub Junior 14-16 (20.02.2004)/14</t>
  </si>
  <si>
    <t>46,90</t>
  </si>
  <si>
    <t>Dokuchayev K.</t>
  </si>
  <si>
    <t>Voronin Nikita</t>
  </si>
  <si>
    <t>Sub Junior 14-16 (23.09.2001)/16</t>
  </si>
  <si>
    <t>RUS/pgt Fryanovo</t>
  </si>
  <si>
    <t>Voronin N.</t>
  </si>
  <si>
    <t>Morozov Denis</t>
  </si>
  <si>
    <t>Junior (07.03.1998)/20</t>
  </si>
  <si>
    <t>samostoyatelno</t>
  </si>
  <si>
    <t>Yurlov Igor</t>
  </si>
  <si>
    <t>Junior (16.11.1996)/21</t>
  </si>
  <si>
    <t>63,90</t>
  </si>
  <si>
    <t>Lychanyy Nikita</t>
  </si>
  <si>
    <t>Open (07.11.1993)/24</t>
  </si>
  <si>
    <t>66,50</t>
  </si>
  <si>
    <t>Alyapkin Sergey</t>
  </si>
  <si>
    <t>Junior (12.02.1995)/23</t>
  </si>
  <si>
    <t>RUS/Vidnoye</t>
  </si>
  <si>
    <t>Skogorev Maksim</t>
  </si>
  <si>
    <t>Junior (02.12.1994)/23</t>
  </si>
  <si>
    <t>RUS/Semiluki</t>
  </si>
  <si>
    <t>Yervasov Ruslan</t>
  </si>
  <si>
    <t>Junior (17.05.1997)/20</t>
  </si>
  <si>
    <t>Ragulin S.</t>
  </si>
  <si>
    <t>Bogdanov Maksim</t>
  </si>
  <si>
    <t>Open (12.10.1992)/25</t>
  </si>
  <si>
    <t>Volkov Dmitriy</t>
  </si>
  <si>
    <t>Open (04.05.1982)/35</t>
  </si>
  <si>
    <t>RUS/Tambov</t>
  </si>
  <si>
    <t>Yepikhin A.</t>
  </si>
  <si>
    <t>Rukavishnikov Ruslan</t>
  </si>
  <si>
    <t>Junior (29.07.1994)/23</t>
  </si>
  <si>
    <t>80,80</t>
  </si>
  <si>
    <t>RUS/Tikhoretsk</t>
  </si>
  <si>
    <t>Aleksandrov Aleksandr</t>
  </si>
  <si>
    <t>Open (19.07.1979)/38</t>
  </si>
  <si>
    <t>RUS/Zmeinogorsk</t>
  </si>
  <si>
    <t>220,5</t>
  </si>
  <si>
    <t>Klimachevskiy Denis</t>
  </si>
  <si>
    <t>Open (04.04.1980)/38</t>
  </si>
  <si>
    <t>Gorshkov Anton</t>
  </si>
  <si>
    <t>Open (25.03.1988)/30</t>
  </si>
  <si>
    <t>Vyakhirev Ilya</t>
  </si>
  <si>
    <t>Open (28.02.1993)/25</t>
  </si>
  <si>
    <t>Mukhin Vladislav</t>
  </si>
  <si>
    <t>Open (01.03.1983)/35</t>
  </si>
  <si>
    <t>RUS/Kamyshin</t>
  </si>
  <si>
    <t>Rizayeva O.</t>
  </si>
  <si>
    <t>Zolotovskiy Leonid</t>
  </si>
  <si>
    <t>Open (29.12.1991)/26</t>
  </si>
  <si>
    <t>Volynets Aleksandr</t>
  </si>
  <si>
    <t>Open (09.05.1985)/32</t>
  </si>
  <si>
    <t>Suyagin Aleksandr</t>
  </si>
  <si>
    <t>Open (25.07.1989)/28</t>
  </si>
  <si>
    <t>76,70</t>
  </si>
  <si>
    <t>Aleksandrov Yuriy</t>
  </si>
  <si>
    <t>Open (27.05.1990)/27</t>
  </si>
  <si>
    <t>Aksyutin Anton</t>
  </si>
  <si>
    <t>Open (14.02.1989)/29</t>
  </si>
  <si>
    <t>Kovalev Igor</t>
  </si>
  <si>
    <t>Master 60-69 (08.04.1957)/61</t>
  </si>
  <si>
    <t>Novikov Ilya</t>
  </si>
  <si>
    <t>Sub Junior 17-19 (10.03.1999)/19</t>
  </si>
  <si>
    <t>RUS/Dmitrov</t>
  </si>
  <si>
    <t>Klimov Ruslan</t>
  </si>
  <si>
    <t>Junior (05.05.1997)/20</t>
  </si>
  <si>
    <t>RUS/Sverdlovsk</t>
  </si>
  <si>
    <t>210,5</t>
  </si>
  <si>
    <t>Murashkin Andrey</t>
  </si>
  <si>
    <t>Junior (28.05.1994)/23</t>
  </si>
  <si>
    <t>Protapovich Nikita</t>
  </si>
  <si>
    <t>Junior (24.01.1995)/23</t>
  </si>
  <si>
    <t>RUS/Novocheboksarsk</t>
  </si>
  <si>
    <t>Gibadullin Rafis</t>
  </si>
  <si>
    <t>Junior (22.05.1996)/21</t>
  </si>
  <si>
    <t>Kholmogorov A.</t>
  </si>
  <si>
    <t>Sapozhonkov Andrey</t>
  </si>
  <si>
    <t>Open (26.06.1987)/30</t>
  </si>
  <si>
    <t>257,0</t>
  </si>
  <si>
    <t>Finogenov Andrey</t>
  </si>
  <si>
    <t>Open (25.03.1987)/31</t>
  </si>
  <si>
    <t>Tsyplakov Andrey</t>
  </si>
  <si>
    <t>Open (05.01.1987)/31</t>
  </si>
  <si>
    <t>RUS/Petropavlovsk Kamchatsky</t>
  </si>
  <si>
    <t>Magomedov Murad</t>
  </si>
  <si>
    <t>Open (17.09.1989)/28</t>
  </si>
  <si>
    <t>Aliyev Vladimir</t>
  </si>
  <si>
    <t>Open (26.01.1992)/26</t>
  </si>
  <si>
    <t>86,00</t>
  </si>
  <si>
    <t>UKR/Makeyevka</t>
  </si>
  <si>
    <t>Melnikov N.</t>
  </si>
  <si>
    <t>Nikiforov Nazar</t>
  </si>
  <si>
    <t>Open (26.03.1984)/34</t>
  </si>
  <si>
    <t>Lvov Sergey</t>
  </si>
  <si>
    <t>Open (05.05.1979)/38</t>
  </si>
  <si>
    <t>Shtyrkov Yevgeniy</t>
  </si>
  <si>
    <t>Kopyshev Aleksey</t>
  </si>
  <si>
    <t>Master 40-49 (03.09.1971)/46</t>
  </si>
  <si>
    <t>Gorislov Anatoliy</t>
  </si>
  <si>
    <t>Master 70-79 (14.11.1939)/78</t>
  </si>
  <si>
    <t>RUS/Yartsevo</t>
  </si>
  <si>
    <t>126,0</t>
  </si>
  <si>
    <t>Kuprin Daniil</t>
  </si>
  <si>
    <t>Sub Junior 17-19 (18.12.1998)/19</t>
  </si>
  <si>
    <t>Matevosyan David</t>
  </si>
  <si>
    <t>RUS/Bronnitsy</t>
  </si>
  <si>
    <t>Yermolayev V.</t>
  </si>
  <si>
    <t>Vasilyev Dmitriy</t>
  </si>
  <si>
    <t>RUS/Zelenograd</t>
  </si>
  <si>
    <t>Naumov Anton</t>
  </si>
  <si>
    <t>Garanin Viktor</t>
  </si>
  <si>
    <t>Junior (15.07.1994)/23</t>
  </si>
  <si>
    <t>RUS/Abakan</t>
  </si>
  <si>
    <t>Akhmadiyev Ruslan</t>
  </si>
  <si>
    <t>Junior (18.07.1995)/22</t>
  </si>
  <si>
    <t>93,20</t>
  </si>
  <si>
    <t>Shemyagin Roman</t>
  </si>
  <si>
    <t>Junior (15.02.1996)/22</t>
  </si>
  <si>
    <t>Glotov Yevgeniy</t>
  </si>
  <si>
    <t>Lisyutin M., Begerin R.</t>
  </si>
  <si>
    <t>Vozerkhanov Daud</t>
  </si>
  <si>
    <t>Open (15.12.1979)/38</t>
  </si>
  <si>
    <t>RUS/Khasavyurt</t>
  </si>
  <si>
    <t>Sergeyev Igor</t>
  </si>
  <si>
    <t>Open (07.08.1966)/51</t>
  </si>
  <si>
    <t>Rybakov Andzhey</t>
  </si>
  <si>
    <t>Open (29.12.1980)/37</t>
  </si>
  <si>
    <t>Pozdyayev Ivan</t>
  </si>
  <si>
    <t>Open (25.09.1991)/26</t>
  </si>
  <si>
    <t>95,80</t>
  </si>
  <si>
    <t>RUS/Arzamas</t>
  </si>
  <si>
    <t>Grigoryev Yuriy</t>
  </si>
  <si>
    <t>Open (09.02.1982)/36</t>
  </si>
  <si>
    <t>99,90</t>
  </si>
  <si>
    <t>Savchenko Ilya</t>
  </si>
  <si>
    <t>Open (10.07.1986)/31</t>
  </si>
  <si>
    <t>Sidorov Dmitriy</t>
  </si>
  <si>
    <t>Open (23.04.1991)/27</t>
  </si>
  <si>
    <t>RUS/Serpukhov</t>
  </si>
  <si>
    <t>Tikhonov Andrey</t>
  </si>
  <si>
    <t>Open (01.02.1983)/35</t>
  </si>
  <si>
    <t>Bondarev Vasiliy</t>
  </si>
  <si>
    <t>Open (08.04.1994)/24</t>
  </si>
  <si>
    <t>Shamray Taras</t>
  </si>
  <si>
    <t>Open (22.06.1983)/34</t>
  </si>
  <si>
    <t>94,80</t>
  </si>
  <si>
    <t>RUS/Olenegorsk</t>
  </si>
  <si>
    <t>Valin Andrey</t>
  </si>
  <si>
    <t>Open (26.04.1992)/26</t>
  </si>
  <si>
    <t>RUS/Efremov</t>
  </si>
  <si>
    <t>Kaverin Nikita</t>
  </si>
  <si>
    <t>Open (14.07.1989)/28</t>
  </si>
  <si>
    <t>93,60</t>
  </si>
  <si>
    <t>RUS/Michurinsk</t>
  </si>
  <si>
    <t>Onishchenko Yevgeniy</t>
  </si>
  <si>
    <t>Open (02.10.1980)/37</t>
  </si>
  <si>
    <t>Aleynikov Yuriy</t>
  </si>
  <si>
    <t>Open (14.02.1986)/32</t>
  </si>
  <si>
    <t>Zaytsev Yevgeniy</t>
  </si>
  <si>
    <t>Open (17.04.1990)/28</t>
  </si>
  <si>
    <t>Medved Maksim</t>
  </si>
  <si>
    <t>Kholmogorov Aleksey</t>
  </si>
  <si>
    <t>Master 40-49 (28.08.1976)/41</t>
  </si>
  <si>
    <t>Latyshev Andrey</t>
  </si>
  <si>
    <t>Master 40-49 (16.04.1973)/45</t>
  </si>
  <si>
    <t>Fomin Yu.</t>
  </si>
  <si>
    <t>Slobodenyuk Sergey</t>
  </si>
  <si>
    <t>Master 40-49 (14.06.1970)/47</t>
  </si>
  <si>
    <t>Master 50-59 (07.08.1966)/51</t>
  </si>
  <si>
    <t>Vdovushkin Aleksandr</t>
  </si>
  <si>
    <t>Master 60-69 (04.11.1956)/61</t>
  </si>
  <si>
    <t>RUS/Klin</t>
  </si>
  <si>
    <t>Fedyayev Valeriy</t>
  </si>
  <si>
    <t>Master 60-69 (15.12.1951)/66</t>
  </si>
  <si>
    <t>Pinchuk Vitaliy</t>
  </si>
  <si>
    <t>Open (08.05.1989)/28</t>
  </si>
  <si>
    <t>108,30</t>
  </si>
  <si>
    <t>Filatov Yevgeniy</t>
  </si>
  <si>
    <t>107,40</t>
  </si>
  <si>
    <t>Solovyev Aleksey</t>
  </si>
  <si>
    <t>Open (01.07.1990)/27</t>
  </si>
  <si>
    <t>104,10</t>
  </si>
  <si>
    <t>RUS/Kolchugino</t>
  </si>
  <si>
    <t>Lir Sergey</t>
  </si>
  <si>
    <t>Open (25.08.1991)/26</t>
  </si>
  <si>
    <t>RUS/Blagoveshchensk</t>
  </si>
  <si>
    <t>Mukhametdinov Valeriy</t>
  </si>
  <si>
    <t>Open (24.07.1990)/27</t>
  </si>
  <si>
    <t>Bugov Umar</t>
  </si>
  <si>
    <t>Open (02.03.1989)/29</t>
  </si>
  <si>
    <t>Khamidlokov K.</t>
  </si>
  <si>
    <t>Sinelnikov Ivan</t>
  </si>
  <si>
    <t>Open (15.08.1981)/36</t>
  </si>
  <si>
    <t>106,70</t>
  </si>
  <si>
    <t>Annenkov E.</t>
  </si>
  <si>
    <t>Kuznetsov Andrey</t>
  </si>
  <si>
    <t>Open (16.10.1985)/32</t>
  </si>
  <si>
    <t>Solntsev Maksim</t>
  </si>
  <si>
    <t>Open (29.08.1986)/31</t>
  </si>
  <si>
    <t>Makhrov Andrey</t>
  </si>
  <si>
    <t>Open (18.05.1990)/27</t>
  </si>
  <si>
    <t>107,00</t>
  </si>
  <si>
    <t>Musayev Akhmed</t>
  </si>
  <si>
    <t>Open (10.10.1980)/37</t>
  </si>
  <si>
    <t>103,80</t>
  </si>
  <si>
    <t>Drozdov A.</t>
  </si>
  <si>
    <t>Chernov Yuriy</t>
  </si>
  <si>
    <t>Open (21.09.1983)/34</t>
  </si>
  <si>
    <t>104,50</t>
  </si>
  <si>
    <t>Gusev Vyacheslav</t>
  </si>
  <si>
    <t>Open (08.03.1987)/31</t>
  </si>
  <si>
    <t>102,80</t>
  </si>
  <si>
    <t>Kolokhin P.</t>
  </si>
  <si>
    <t>Uporov Yegor</t>
  </si>
  <si>
    <t>Open (01.03.1988)/30</t>
  </si>
  <si>
    <t>Obrazumov Dmitriy</t>
  </si>
  <si>
    <t>Open (09.03.1980)/38</t>
  </si>
  <si>
    <t>Chuba David</t>
  </si>
  <si>
    <t>Open (25.09.1985)/32</t>
  </si>
  <si>
    <t>Chuba R.</t>
  </si>
  <si>
    <t>Borisov Aleksandr</t>
  </si>
  <si>
    <t>Open (17.04.1985)/33</t>
  </si>
  <si>
    <t>Serbin A.</t>
  </si>
  <si>
    <t>Pinchuk Aleksey</t>
  </si>
  <si>
    <t>Open (14.04.1994)/24</t>
  </si>
  <si>
    <t>102,30</t>
  </si>
  <si>
    <t>Dryanov Dmitriy</t>
  </si>
  <si>
    <t>Open (08.01.1990)/28</t>
  </si>
  <si>
    <t>107,20</t>
  </si>
  <si>
    <t>Markelov Aleksey</t>
  </si>
  <si>
    <t>Open (12.06.1984)/33</t>
  </si>
  <si>
    <t>109,10</t>
  </si>
  <si>
    <t>Golubev Ya.</t>
  </si>
  <si>
    <t>Mikov Aleksandr</t>
  </si>
  <si>
    <t>Master 40-49 (12.12.1974)/43</t>
  </si>
  <si>
    <t>Balandin S.</t>
  </si>
  <si>
    <t>Vintenkov Aleksandr</t>
  </si>
  <si>
    <t>Master 40-49 (23.02.1976)/42</t>
  </si>
  <si>
    <t>Solntsev M.</t>
  </si>
  <si>
    <t>Yegorov Anton</t>
  </si>
  <si>
    <t>Master 40-49 (22.02.1969)/49</t>
  </si>
  <si>
    <t>Ovechkin Maksim</t>
  </si>
  <si>
    <t>Master 40-49 (02.05.1976)/41</t>
  </si>
  <si>
    <t>Zaytsev Vadim</t>
  </si>
  <si>
    <t>Master 40-49 (19.09.1977)/40</t>
  </si>
  <si>
    <t>107,70</t>
  </si>
  <si>
    <t>Dubovik Dmitriy</t>
  </si>
  <si>
    <t>Master 50-59 (07.10.1967)/50</t>
  </si>
  <si>
    <t>RUS/Novorossiysk</t>
  </si>
  <si>
    <t>Demenev M.</t>
  </si>
  <si>
    <t>Zaytsev Ivan</t>
  </si>
  <si>
    <t>Junior (11.09.1997)/20</t>
  </si>
  <si>
    <t>123,80</t>
  </si>
  <si>
    <t>Zuykov Yevgeniy</t>
  </si>
  <si>
    <t>Junior (10.05.1994)/23</t>
  </si>
  <si>
    <t>122,40</t>
  </si>
  <si>
    <t>Lebedev Danil</t>
  </si>
  <si>
    <t>Junior (06.10.1997)/20</t>
  </si>
  <si>
    <t>117,30</t>
  </si>
  <si>
    <t>Bakhtin Stanislav</t>
  </si>
  <si>
    <t>Open (06.06.1989)/28</t>
  </si>
  <si>
    <t>116,70</t>
  </si>
  <si>
    <t>Rastorguyev Oleg</t>
  </si>
  <si>
    <t>Open (08.08.1973)/44</t>
  </si>
  <si>
    <t>120,80</t>
  </si>
  <si>
    <t>Zavrazhin Roman</t>
  </si>
  <si>
    <t>Open (31.01.1991)/27</t>
  </si>
  <si>
    <t>122,70</t>
  </si>
  <si>
    <t>Grechina Ilya</t>
  </si>
  <si>
    <t>Open (14.05.1991)/26</t>
  </si>
  <si>
    <t>115,20</t>
  </si>
  <si>
    <t>Gogol Anton</t>
  </si>
  <si>
    <t>Open (20.05.1979)/38</t>
  </si>
  <si>
    <t>112,40</t>
  </si>
  <si>
    <t>Bardin Yu.</t>
  </si>
  <si>
    <t>Vedenidov Sergey</t>
  </si>
  <si>
    <t>Open (23.09.1979)/38</t>
  </si>
  <si>
    <t>114,60</t>
  </si>
  <si>
    <t>Dolgov Dmitriy</t>
  </si>
  <si>
    <t>Open (03.10.1986)/31</t>
  </si>
  <si>
    <t>118,50</t>
  </si>
  <si>
    <t>Kepov Pavel</t>
  </si>
  <si>
    <t>Open (06.07.1988)/29</t>
  </si>
  <si>
    <t>115,50</t>
  </si>
  <si>
    <t>RUS/Vyatskie Polyany</t>
  </si>
  <si>
    <t>Malkov Oleg</t>
  </si>
  <si>
    <t>Open (27.02.1980)/38</t>
  </si>
  <si>
    <t>120,30</t>
  </si>
  <si>
    <t>Burlakov M.</t>
  </si>
  <si>
    <t>Markin Petr</t>
  </si>
  <si>
    <t>Open (02.02.1987)/31</t>
  </si>
  <si>
    <t>119,40</t>
  </si>
  <si>
    <t>Adamenko Mikhail</t>
  </si>
  <si>
    <t>Open (06.03.1980)/38</t>
  </si>
  <si>
    <t>124,70</t>
  </si>
  <si>
    <t>RUS/Sovetskiy</t>
  </si>
  <si>
    <t>Gilvanov F.</t>
  </si>
  <si>
    <t>Master 40-49 (08.08.1973)/44</t>
  </si>
  <si>
    <t>Lomov Igor</t>
  </si>
  <si>
    <t>Master 40-49 (29.10.1970)/47</t>
  </si>
  <si>
    <t>123,60</t>
  </si>
  <si>
    <t>Chuba Roman</t>
  </si>
  <si>
    <t>Master 60-69 (01.05.1954)/63</t>
  </si>
  <si>
    <t>Kolokhin Pavel</t>
  </si>
  <si>
    <t>Open (02.07.1984)/33</t>
  </si>
  <si>
    <t>131,00</t>
  </si>
  <si>
    <t>Klimov Pavel</t>
  </si>
  <si>
    <t>Open (27.03.1991)/27</t>
  </si>
  <si>
    <t>136,00</t>
  </si>
  <si>
    <t>Lisyutin Maksim</t>
  </si>
  <si>
    <t>Open (24.04.1985)/33</t>
  </si>
  <si>
    <t>126,20</t>
  </si>
  <si>
    <t>RUS/Khotkovo</t>
  </si>
  <si>
    <t>Pakhomov Artem</t>
  </si>
  <si>
    <t>Open (09.07.1980)/37</t>
  </si>
  <si>
    <t>135,30</t>
  </si>
  <si>
    <t>Vysotskiy Andrey</t>
  </si>
  <si>
    <t>Master 40-49 (19.11.1977)/40</t>
  </si>
  <si>
    <t>133,40</t>
  </si>
  <si>
    <t>Pavlov V.</t>
  </si>
  <si>
    <t>Dorokhov Aleksandr</t>
  </si>
  <si>
    <t>Master 40-49 (06.05.1968)/49</t>
  </si>
  <si>
    <t>Grigoryev Nikita</t>
  </si>
  <si>
    <t>Junior (13.12.1996)/21</t>
  </si>
  <si>
    <t>145,20</t>
  </si>
  <si>
    <t>RUS/Ufa</t>
  </si>
  <si>
    <t>Kharitonov Sergey</t>
  </si>
  <si>
    <t>Open (06.04.1987)/31</t>
  </si>
  <si>
    <t>185,70</t>
  </si>
  <si>
    <t>139,5485</t>
  </si>
  <si>
    <t>131,2400</t>
  </si>
  <si>
    <t>119,9100</t>
  </si>
  <si>
    <t>164,7045</t>
  </si>
  <si>
    <t>152,4960</t>
  </si>
  <si>
    <t>151,5510</t>
  </si>
  <si>
    <t>162,8598</t>
  </si>
  <si>
    <t>155,6450</t>
  </si>
  <si>
    <t>143,9881</t>
  </si>
  <si>
    <t>WRPF European championship
WRPF Bench Press among athletes with physical features
Moscow, 27 - 30 april 2018</t>
  </si>
  <si>
    <t>Gloss</t>
  </si>
  <si>
    <t>Sokova Galina</t>
  </si>
  <si>
    <t>Teen 13-19 (21.08.1998)/19</t>
  </si>
  <si>
    <t>44,50</t>
  </si>
  <si>
    <t>Russia/Elektrostal</t>
  </si>
  <si>
    <t>RUS/Kurtamysh</t>
  </si>
  <si>
    <t>Tropin G.</t>
  </si>
  <si>
    <t>Merzon Yeva</t>
  </si>
  <si>
    <t>Open (10.10.1991)/26</t>
  </si>
  <si>
    <t>47,10</t>
  </si>
  <si>
    <t>Apinov K.</t>
  </si>
  <si>
    <t>Pilipenko Viktoriya</t>
  </si>
  <si>
    <t>Teen 13-19 (09.04.2003)/15</t>
  </si>
  <si>
    <t>61,80</t>
  </si>
  <si>
    <t>RUS/Elektrostal</t>
  </si>
  <si>
    <t>20,0</t>
  </si>
  <si>
    <t>22,5</t>
  </si>
  <si>
    <t>25,0</t>
  </si>
  <si>
    <t>Teen 13-19 (05.02.1998)/20</t>
  </si>
  <si>
    <t>Shishikin Vladimir</t>
  </si>
  <si>
    <t>Teen 13-19 (24.03.1999)/19</t>
  </si>
  <si>
    <t>50,40</t>
  </si>
  <si>
    <t>Ikilikyan Aleksandr</t>
  </si>
  <si>
    <t>Teen 13-19 (11.11.1999)/18</t>
  </si>
  <si>
    <t>Loshchinin Grigoriy</t>
  </si>
  <si>
    <t>Open (05.05.1991)/26</t>
  </si>
  <si>
    <t>Silushin P.</t>
  </si>
  <si>
    <t>Aparin Maksim</t>
  </si>
  <si>
    <t>Teen 13-19 (06.03.2002)/16</t>
  </si>
  <si>
    <t>Illarionov Ivan</t>
  </si>
  <si>
    <t>Teen 13-19 (11.09.2002)/15</t>
  </si>
  <si>
    <t>66,00</t>
  </si>
  <si>
    <t>Proskuryakov Ilya</t>
  </si>
  <si>
    <t>64,20</t>
  </si>
  <si>
    <t>RUS/Krasnodar</t>
  </si>
  <si>
    <t>Teplov Yevgeniy</t>
  </si>
  <si>
    <t>Open (16.06.1990)/27</t>
  </si>
  <si>
    <t>70,40</t>
  </si>
  <si>
    <t>Karpov I.</t>
  </si>
  <si>
    <t>Semenov Aleksey</t>
  </si>
  <si>
    <t>Open (24.09.1987)/30</t>
  </si>
  <si>
    <t>69,80</t>
  </si>
  <si>
    <t>Orlova O.</t>
  </si>
  <si>
    <t>AL-haydari Mohammad</t>
  </si>
  <si>
    <t>Open (09.07.1978)/39</t>
  </si>
  <si>
    <t>SWE/Orebro</t>
  </si>
  <si>
    <t>Tihinen M.</t>
  </si>
  <si>
    <t>Pavlov Dmitriy</t>
  </si>
  <si>
    <t>Open (14.03.1986)/32</t>
  </si>
  <si>
    <t>RUS/Evpatoriya</t>
  </si>
  <si>
    <t>Temnekov V.</t>
  </si>
  <si>
    <t>Makarenko Konstantin</t>
  </si>
  <si>
    <t>Open (03.02.1973)/45</t>
  </si>
  <si>
    <t>RUS/Orekhovo-Zuyevo</t>
  </si>
  <si>
    <t>Ushkov I.</t>
  </si>
  <si>
    <t>67,20</t>
  </si>
  <si>
    <t>96,40</t>
  </si>
  <si>
    <t>109,70</t>
  </si>
  <si>
    <t>Bergert Lev</t>
  </si>
  <si>
    <t>144,60</t>
  </si>
  <si>
    <t>RUS/Zavolzhye</t>
  </si>
  <si>
    <t>Knyazeva Natalya</t>
  </si>
  <si>
    <t>RUS/Losino-Petrovskiy</t>
  </si>
  <si>
    <t>Juniors 20-23 (17.11.1996)/21</t>
  </si>
  <si>
    <t>Medzhitov Ridvan</t>
  </si>
  <si>
    <t>Open (20.02.1989)/29</t>
  </si>
  <si>
    <t>Katayev L.</t>
  </si>
  <si>
    <t>Masters 40-49 (03.05.1975)/42</t>
  </si>
  <si>
    <t>Cheredin Vladimir</t>
  </si>
  <si>
    <t>118,40</t>
  </si>
  <si>
    <t>BLR/Mozyr</t>
  </si>
  <si>
    <t>Lazurenko S.</t>
  </si>
  <si>
    <t>Masters 40-49 (30.01.1971)/47</t>
  </si>
  <si>
    <t>83,30</t>
  </si>
  <si>
    <t>101,00</t>
  </si>
  <si>
    <t>332,5</t>
  </si>
  <si>
    <t>WEPF European championship
WEPF Bench Press Single ply with Drug Test
Moscow, 27 - 30 april 2018</t>
  </si>
  <si>
    <t>Ruban Valeriy</t>
  </si>
  <si>
    <t>Open (14.02.1990)/28</t>
  </si>
  <si>
    <t>Solodyuk D.</t>
  </si>
  <si>
    <t>Konchakov Vladimir</t>
  </si>
  <si>
    <t>Open (25.05.1973)/44</t>
  </si>
  <si>
    <t>89,40</t>
  </si>
  <si>
    <t>Reza Jamei</t>
  </si>
  <si>
    <t>Master 40-49 (01.11.1975)/42</t>
  </si>
  <si>
    <t>Litovskiy Mikhail</t>
  </si>
  <si>
    <t>Open (16.01.1993)/25</t>
  </si>
  <si>
    <t>Cheremisin Artur</t>
  </si>
  <si>
    <t>Open (29.11.1989)/28</t>
  </si>
  <si>
    <t>Open (13.06.1966)/51</t>
  </si>
  <si>
    <t>WEPF European championship
WEPF Bench Press Single ply
Moscow, 27 - 30 april 2018</t>
  </si>
  <si>
    <t>Danilova Yelena</t>
  </si>
  <si>
    <t>Open (13.05.1983)/34</t>
  </si>
  <si>
    <t>Chugurov Sergey</t>
  </si>
  <si>
    <t>Open (22.06.1993)/24</t>
  </si>
  <si>
    <t>Kopyttsev Denis</t>
  </si>
  <si>
    <t>Open (31.12.1990)/27</t>
  </si>
  <si>
    <t>77,80</t>
  </si>
  <si>
    <t>Konin Dmitriy</t>
  </si>
  <si>
    <t>Master 40-49 (23.10.1975)/42</t>
  </si>
  <si>
    <t>RUS/Kaluga</t>
  </si>
  <si>
    <t>Avramenko Ivan</t>
  </si>
  <si>
    <t>Abdyushev Eduard</t>
  </si>
  <si>
    <t>Master 60-69 (02.03.1955)/63</t>
  </si>
  <si>
    <t>Muratkin A.</t>
  </si>
  <si>
    <t>Lugovoy Aleksandr</t>
  </si>
  <si>
    <t>Junior (28.10.1995)/22</t>
  </si>
  <si>
    <t>133,50</t>
  </si>
  <si>
    <t>Sibalakov V.</t>
  </si>
  <si>
    <t>WEPF European championship
WEPF Bench Press Soft Equipment "Standard" with Drug Test
Moscow, 27 - 30 april 2018</t>
  </si>
  <si>
    <t>Maletskaya Svetlana</t>
  </si>
  <si>
    <t>Open (04.06.1983)/34</t>
  </si>
  <si>
    <t>130,5</t>
  </si>
  <si>
    <t>Makkhaund Elvira</t>
  </si>
  <si>
    <t>Open (21.07.1987)/30</t>
  </si>
  <si>
    <t>Parfenov Aleksandr</t>
  </si>
  <si>
    <t>Open (20.09.1988)/29</t>
  </si>
  <si>
    <t>Lebedev Mikhail</t>
  </si>
  <si>
    <t>Juniors 20-23 (01.02.1996)/22</t>
  </si>
  <si>
    <t>Fedorenko A.</t>
  </si>
  <si>
    <t>Seytnebiyev Mustafa</t>
  </si>
  <si>
    <t>Open (15.07.1996)/21</t>
  </si>
  <si>
    <t>Masters 40-49 (03.02.1977)/41</t>
  </si>
  <si>
    <t>Masters 40-49 (08.05.1973)/44</t>
  </si>
  <si>
    <t>Masters 40-49 (24.08.1973)/44</t>
  </si>
  <si>
    <t>Masters 50-59 (06.04.1967)/51</t>
  </si>
  <si>
    <t>Ignatov Andrey</t>
  </si>
  <si>
    <t>Open (22.02.1992)/26</t>
  </si>
  <si>
    <t>Falkovskiy Oleg</t>
  </si>
  <si>
    <t>Open (27.02.1989)/29</t>
  </si>
  <si>
    <t>Shcheslavskiy Stanislav</t>
  </si>
  <si>
    <t>Prokopov M.</t>
  </si>
  <si>
    <t>Open (03.05.1975)/42</t>
  </si>
  <si>
    <t>Yarlykov Mikhail</t>
  </si>
  <si>
    <t>Open (22.02.1989)/29</t>
  </si>
  <si>
    <t>Lider</t>
  </si>
  <si>
    <t>Saydentsal Oleg</t>
  </si>
  <si>
    <t>Masters 40-49 (14.03.1975)/43</t>
  </si>
  <si>
    <t>Isakov P.</t>
  </si>
  <si>
    <t>Masters 50-59 (20.03.1962)/56</t>
  </si>
  <si>
    <t>Marachev Roman</t>
  </si>
  <si>
    <t>Open (16.05.1978)/39</t>
  </si>
  <si>
    <t>183,8970</t>
  </si>
  <si>
    <t>156,0218</t>
  </si>
  <si>
    <t>152,2456</t>
  </si>
  <si>
    <t>WEPF European championship
WEPF Bench Press Soft Equipment "Standard"
Moscow, 27 - 30 april 2018</t>
  </si>
  <si>
    <t>Prokopova Yelena</t>
  </si>
  <si>
    <t>Open (07.03.1966)/52</t>
  </si>
  <si>
    <t>Masters 40-49 (16.07.1970)/47</t>
  </si>
  <si>
    <t>Masters 50-59 (07.03.1966)/52</t>
  </si>
  <si>
    <t>Talikova Nadezhda</t>
  </si>
  <si>
    <t>Masters 50-59 (01.04.1960)/58</t>
  </si>
  <si>
    <t>Juniors 20-23 (29.07.1994)/23</t>
  </si>
  <si>
    <t>Kandaurov Sergey</t>
  </si>
  <si>
    <t>Open (29.05.1974)/43</t>
  </si>
  <si>
    <t>Filatov Yegor</t>
  </si>
  <si>
    <t>Open (22.04.1993)/25</t>
  </si>
  <si>
    <t>Latyshev A.</t>
  </si>
  <si>
    <t>Masters 40-49 (29.05.1974)/43</t>
  </si>
  <si>
    <t>Katayev Lenur</t>
  </si>
  <si>
    <t>Juniors 20-23 (11.10.1994)/23</t>
  </si>
  <si>
    <t>Ilyushin Ruslan</t>
  </si>
  <si>
    <t>Open (25.02.1991)/27</t>
  </si>
  <si>
    <t>Smorodin Mikhail</t>
  </si>
  <si>
    <t>Open (13.07.1980)/37</t>
  </si>
  <si>
    <t>Silushin Pavel</t>
  </si>
  <si>
    <t>Silushin A.</t>
  </si>
  <si>
    <t>Karavayev Aleksey</t>
  </si>
  <si>
    <t>Open (27.07.1987)/30</t>
  </si>
  <si>
    <t>Zyabkin Yegor</t>
  </si>
  <si>
    <t>Open (24.08.1980)/37</t>
  </si>
  <si>
    <t>Open (11.10.1994)/23</t>
  </si>
  <si>
    <t>Dumchev Vladislav</t>
  </si>
  <si>
    <t>Sushiy I.</t>
  </si>
  <si>
    <t>Juniors 20-23 (15.07.1994)/23</t>
  </si>
  <si>
    <t>352,5</t>
  </si>
  <si>
    <t>Kozhemyako Yevgeniy</t>
  </si>
  <si>
    <t>Open (14.01.1986)/32</t>
  </si>
  <si>
    <t>RUS/Davydovo</t>
  </si>
  <si>
    <t>Open (14.03.1975)/43</t>
  </si>
  <si>
    <t>Zhukov Aleksandr</t>
  </si>
  <si>
    <t>Open (13.03.1983)/35</t>
  </si>
  <si>
    <t>101,70</t>
  </si>
  <si>
    <t>Piskarev Aleksandr</t>
  </si>
  <si>
    <t>Open (02.09.1985)/32</t>
  </si>
  <si>
    <t>103,50</t>
  </si>
  <si>
    <t>Mamedov E.</t>
  </si>
  <si>
    <t>Golubkin Yegor</t>
  </si>
  <si>
    <t>Open (04.05.1992)/25</t>
  </si>
  <si>
    <t>116,10</t>
  </si>
  <si>
    <t>RUS/Kurgan</t>
  </si>
  <si>
    <t>Peshlyayev M.</t>
  </si>
  <si>
    <t>Azimov Sharof</t>
  </si>
  <si>
    <t>Masters 40-49 (15.10.1972)/45</t>
  </si>
  <si>
    <t>199,0039</t>
  </si>
  <si>
    <t>189,7607</t>
  </si>
  <si>
    <t>188,3446</t>
  </si>
  <si>
    <t>WEPF European championship
WEPF Bench Press Soft Equipment "Ultra" with Drug Test
Moscow, 27 - 30 april 2018</t>
  </si>
  <si>
    <t>Serichenko Aleksandr</t>
  </si>
  <si>
    <t>Open (01.10.1989)/28</t>
  </si>
  <si>
    <t>WEPF European championship
WEPF Bench Press Soft Equipment "Ultra"
Moscow, 27 - 30 april 2018</t>
  </si>
  <si>
    <t>Kolesnikov Yuriy</t>
  </si>
  <si>
    <t>Open (29.04.1981)/37</t>
  </si>
  <si>
    <t>Piklyayev Denis</t>
  </si>
  <si>
    <t>Open (14.11.1981)/36</t>
  </si>
  <si>
    <t>Tunkin Vyacheslav</t>
  </si>
  <si>
    <t>Open (12.06.1980)/37</t>
  </si>
  <si>
    <t>KAZ/Karaganda</t>
  </si>
  <si>
    <t>Novinskiy Aleksandr</t>
  </si>
  <si>
    <t>Open (08.08.1983)/34</t>
  </si>
  <si>
    <t>Koykov Yegor</t>
  </si>
  <si>
    <t>Open (27.03.1985)/33</t>
  </si>
  <si>
    <t>102,70</t>
  </si>
  <si>
    <t>Yemelyanov Nikolay</t>
  </si>
  <si>
    <t>Open (30.08.1979)/38</t>
  </si>
  <si>
    <t>117,60</t>
  </si>
  <si>
    <t>Abidzhba Roman</t>
  </si>
  <si>
    <t>Open (27.04.1988)/30</t>
  </si>
  <si>
    <t>152,00</t>
  </si>
  <si>
    <t>412,5</t>
  </si>
  <si>
    <t>445,0</t>
  </si>
  <si>
    <t>219,1035</t>
  </si>
  <si>
    <t>215,1735</t>
  </si>
  <si>
    <t>210,2920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</si>
</sst>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  <numFmt numFmtId="165" formatCode="0.0"/>
    <numFmt numFmtId="166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A1">
      <selection activeCell="C47" sqref="C47"/>
    </sheetView>
  </sheetViews>
  <sheetFormatPr defaultColWidth="9.125" defaultRowHeight="12.75"/>
  <cols>
    <col min="1" max="1" width="6.375" style="7" bestFit="1" customWidth="1"/>
    <col min="2" max="2" width="28.25390625" style="6" customWidth="1"/>
    <col min="3" max="3" width="29.75390625" style="6" customWidth="1"/>
    <col min="4" max="4" width="15.00390625" style="6" bestFit="1" customWidth="1"/>
    <col min="5" max="5" width="9.125" style="6" customWidth="1"/>
    <col min="6" max="6" width="29.125" style="6" customWidth="1"/>
    <col min="7" max="7" width="24.125" style="6" customWidth="1"/>
    <col min="8" max="11" width="5.375" style="7" bestFit="1" customWidth="1"/>
    <col min="12" max="12" width="9.875" style="7" customWidth="1"/>
    <col min="13" max="13" width="10.375" style="7" customWidth="1"/>
    <col min="14" max="14" width="27.125" style="6" customWidth="1"/>
    <col min="15" max="16384" width="9.125" style="3" customWidth="1"/>
  </cols>
  <sheetData>
    <row r="1" spans="1:14" s="2" customFormat="1" ht="28.5" customHeight="1">
      <c r="A1" s="46" t="s">
        <v>495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12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5" t="s">
        <v>24</v>
      </c>
      <c r="B6" s="12" t="s">
        <v>497</v>
      </c>
      <c r="C6" s="12" t="s">
        <v>498</v>
      </c>
      <c r="D6" s="12" t="s">
        <v>499</v>
      </c>
      <c r="E6" s="12" t="str">
        <f>"1,4936"</f>
        <v>1,4936</v>
      </c>
      <c r="F6" s="12" t="s">
        <v>15</v>
      </c>
      <c r="G6" s="12" t="s">
        <v>16</v>
      </c>
      <c r="H6" s="13" t="s">
        <v>51</v>
      </c>
      <c r="I6" s="13" t="s">
        <v>49</v>
      </c>
      <c r="J6" s="14" t="s">
        <v>56</v>
      </c>
      <c r="K6" s="15"/>
      <c r="L6" s="15" t="str">
        <f>"42,5"</f>
        <v>42,5</v>
      </c>
      <c r="M6" s="15" t="str">
        <f>"63,4780"</f>
        <v>63,4780</v>
      </c>
      <c r="N6" s="26" t="s">
        <v>500</v>
      </c>
    </row>
    <row r="7" spans="1:14" s="4" customFormat="1" ht="12.75">
      <c r="A7" s="18" t="s">
        <v>24</v>
      </c>
      <c r="B7" s="16" t="s">
        <v>320</v>
      </c>
      <c r="C7" s="16" t="s">
        <v>321</v>
      </c>
      <c r="D7" s="16" t="s">
        <v>14</v>
      </c>
      <c r="E7" s="16" t="str">
        <f>"1,4231"</f>
        <v>1,4231</v>
      </c>
      <c r="F7" s="16" t="s">
        <v>15</v>
      </c>
      <c r="G7" s="16" t="s">
        <v>248</v>
      </c>
      <c r="H7" s="19" t="s">
        <v>43</v>
      </c>
      <c r="I7" s="17" t="s">
        <v>20</v>
      </c>
      <c r="J7" s="19" t="s">
        <v>21</v>
      </c>
      <c r="K7" s="18"/>
      <c r="L7" s="18" t="str">
        <f>"50,0"</f>
        <v>50,0</v>
      </c>
      <c r="M7" s="18" t="str">
        <f>"72,1512"</f>
        <v>72,1512</v>
      </c>
      <c r="N7" s="28" t="s">
        <v>322</v>
      </c>
    </row>
    <row r="8" ht="12.75">
      <c r="B8" s="6" t="s">
        <v>31</v>
      </c>
    </row>
    <row r="9" spans="1:13" ht="15">
      <c r="A9" s="43" t="s">
        <v>32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ht="12.75">
      <c r="A10" s="15" t="s">
        <v>24</v>
      </c>
      <c r="B10" s="12" t="s">
        <v>501</v>
      </c>
      <c r="C10" s="12" t="s">
        <v>502</v>
      </c>
      <c r="D10" s="12" t="s">
        <v>503</v>
      </c>
      <c r="E10" s="12" t="str">
        <f>"1,3367"</f>
        <v>1,3367</v>
      </c>
      <c r="F10" s="12" t="s">
        <v>15</v>
      </c>
      <c r="G10" s="12" t="s">
        <v>16</v>
      </c>
      <c r="H10" s="13" t="s">
        <v>29</v>
      </c>
      <c r="I10" s="14" t="s">
        <v>51</v>
      </c>
      <c r="J10" s="14" t="s">
        <v>51</v>
      </c>
      <c r="K10" s="15"/>
      <c r="L10" s="15" t="str">
        <f>"35,0"</f>
        <v>35,0</v>
      </c>
      <c r="M10" s="15" t="str">
        <f>"46,7845"</f>
        <v>46,7845</v>
      </c>
      <c r="N10" s="26" t="s">
        <v>334</v>
      </c>
    </row>
    <row r="11" spans="1:14" ht="12.75">
      <c r="A11" s="23" t="s">
        <v>38</v>
      </c>
      <c r="B11" s="20" t="s">
        <v>504</v>
      </c>
      <c r="C11" s="20" t="s">
        <v>505</v>
      </c>
      <c r="D11" s="20" t="s">
        <v>506</v>
      </c>
      <c r="E11" s="20" t="str">
        <f>"1,3762"</f>
        <v>1,3762</v>
      </c>
      <c r="F11" s="20" t="s">
        <v>15</v>
      </c>
      <c r="G11" s="20" t="s">
        <v>16</v>
      </c>
      <c r="H11" s="21" t="s">
        <v>507</v>
      </c>
      <c r="I11" s="21" t="s">
        <v>508</v>
      </c>
      <c r="J11" s="22" t="s">
        <v>29</v>
      </c>
      <c r="K11" s="23"/>
      <c r="L11" s="23" t="str">
        <f>"30,0"</f>
        <v>30,0</v>
      </c>
      <c r="M11" s="23" t="str">
        <f>"41,2860"</f>
        <v>41,2860</v>
      </c>
      <c r="N11" s="27" t="s">
        <v>509</v>
      </c>
    </row>
    <row r="12" spans="1:14" ht="12.75">
      <c r="A12" s="23" t="s">
        <v>24</v>
      </c>
      <c r="B12" s="20" t="s">
        <v>39</v>
      </c>
      <c r="C12" s="20" t="s">
        <v>40</v>
      </c>
      <c r="D12" s="20" t="s">
        <v>41</v>
      </c>
      <c r="E12" s="20" t="str">
        <f>"1,3346"</f>
        <v>1,3346</v>
      </c>
      <c r="F12" s="20" t="s">
        <v>15</v>
      </c>
      <c r="G12" s="20" t="s">
        <v>16</v>
      </c>
      <c r="H12" s="21" t="s">
        <v>43</v>
      </c>
      <c r="I12" s="22" t="s">
        <v>20</v>
      </c>
      <c r="J12" s="22" t="s">
        <v>20</v>
      </c>
      <c r="K12" s="23"/>
      <c r="L12" s="23" t="str">
        <f>"47,5"</f>
        <v>47,5</v>
      </c>
      <c r="M12" s="23" t="str">
        <f>"63,3935"</f>
        <v>63,3935</v>
      </c>
      <c r="N12" s="27" t="s">
        <v>45</v>
      </c>
    </row>
    <row r="13" spans="1:14" ht="12.75">
      <c r="A13" s="23" t="s">
        <v>38</v>
      </c>
      <c r="B13" s="20" t="s">
        <v>510</v>
      </c>
      <c r="C13" s="20" t="s">
        <v>511</v>
      </c>
      <c r="D13" s="20" t="s">
        <v>512</v>
      </c>
      <c r="E13" s="20" t="str">
        <f>"1,3265"</f>
        <v>1,3265</v>
      </c>
      <c r="F13" s="20" t="s">
        <v>15</v>
      </c>
      <c r="G13" s="20" t="s">
        <v>16</v>
      </c>
      <c r="H13" s="21" t="s">
        <v>51</v>
      </c>
      <c r="I13" s="21" t="s">
        <v>56</v>
      </c>
      <c r="J13" s="22" t="s">
        <v>20</v>
      </c>
      <c r="K13" s="23"/>
      <c r="L13" s="23" t="str">
        <f>"45,0"</f>
        <v>45,0</v>
      </c>
      <c r="M13" s="23" t="str">
        <f>"59,6925"</f>
        <v>59,6925</v>
      </c>
      <c r="N13" s="27" t="s">
        <v>513</v>
      </c>
    </row>
    <row r="14" spans="1:14" ht="12.75">
      <c r="A14" s="23" t="s">
        <v>72</v>
      </c>
      <c r="B14" s="20" t="s">
        <v>514</v>
      </c>
      <c r="C14" s="20" t="s">
        <v>515</v>
      </c>
      <c r="D14" s="20" t="s">
        <v>516</v>
      </c>
      <c r="E14" s="20" t="str">
        <f>"1,3449"</f>
        <v>1,3449</v>
      </c>
      <c r="F14" s="20" t="s">
        <v>15</v>
      </c>
      <c r="G14" s="20" t="s">
        <v>16</v>
      </c>
      <c r="H14" s="21" t="s">
        <v>30</v>
      </c>
      <c r="I14" s="22" t="s">
        <v>49</v>
      </c>
      <c r="J14" s="22" t="s">
        <v>49</v>
      </c>
      <c r="K14" s="23"/>
      <c r="L14" s="23" t="str">
        <f>"37,5"</f>
        <v>37,5</v>
      </c>
      <c r="M14" s="23" t="str">
        <f>"50,4338"</f>
        <v>50,4338</v>
      </c>
      <c r="N14" s="27" t="s">
        <v>517</v>
      </c>
    </row>
    <row r="15" spans="1:14" ht="12.75">
      <c r="A15" s="18" t="s">
        <v>13</v>
      </c>
      <c r="B15" s="16" t="s">
        <v>518</v>
      </c>
      <c r="C15" s="16" t="s">
        <v>519</v>
      </c>
      <c r="D15" s="16" t="s">
        <v>520</v>
      </c>
      <c r="E15" s="16" t="str">
        <f>"1,3532"</f>
        <v>1,3532</v>
      </c>
      <c r="F15" s="16" t="s">
        <v>15</v>
      </c>
      <c r="G15" s="16" t="s">
        <v>16</v>
      </c>
      <c r="H15" s="19" t="s">
        <v>20</v>
      </c>
      <c r="I15" s="19" t="s">
        <v>20</v>
      </c>
      <c r="J15" s="19" t="s">
        <v>20</v>
      </c>
      <c r="K15" s="18"/>
      <c r="L15" s="18" t="s">
        <v>23</v>
      </c>
      <c r="M15" s="18" t="str">
        <f>"0,0000"</f>
        <v>0,0000</v>
      </c>
      <c r="N15" s="28" t="s">
        <v>37</v>
      </c>
    </row>
    <row r="16" ht="12.75">
      <c r="B16" s="6" t="s">
        <v>31</v>
      </c>
    </row>
    <row r="17" spans="1:13" ht="15">
      <c r="A17" s="43" t="s">
        <v>47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4" ht="12.75">
      <c r="A18" s="15" t="s">
        <v>24</v>
      </c>
      <c r="B18" s="12" t="s">
        <v>324</v>
      </c>
      <c r="C18" s="12" t="s">
        <v>325</v>
      </c>
      <c r="D18" s="12" t="s">
        <v>326</v>
      </c>
      <c r="E18" s="12" t="str">
        <f>"1,2711"</f>
        <v>1,2711</v>
      </c>
      <c r="F18" s="12" t="s">
        <v>86</v>
      </c>
      <c r="G18" s="12" t="s">
        <v>87</v>
      </c>
      <c r="H18" s="13" t="s">
        <v>27</v>
      </c>
      <c r="I18" s="13" t="s">
        <v>28</v>
      </c>
      <c r="J18" s="13" t="s">
        <v>91</v>
      </c>
      <c r="K18" s="15"/>
      <c r="L18" s="15" t="str">
        <f>"72,5"</f>
        <v>72,5</v>
      </c>
      <c r="M18" s="15" t="str">
        <f>"92,1548"</f>
        <v>92,1548</v>
      </c>
      <c r="N18" s="26" t="s">
        <v>327</v>
      </c>
    </row>
    <row r="19" spans="1:14" ht="12.75">
      <c r="A19" s="23" t="s">
        <v>38</v>
      </c>
      <c r="B19" s="20" t="s">
        <v>521</v>
      </c>
      <c r="C19" s="20" t="s">
        <v>522</v>
      </c>
      <c r="D19" s="20" t="s">
        <v>326</v>
      </c>
      <c r="E19" s="20" t="str">
        <f>"1,2711"</f>
        <v>1,2711</v>
      </c>
      <c r="F19" s="20" t="s">
        <v>15</v>
      </c>
      <c r="G19" s="20" t="s">
        <v>248</v>
      </c>
      <c r="H19" s="21" t="s">
        <v>35</v>
      </c>
      <c r="I19" s="22" t="s">
        <v>67</v>
      </c>
      <c r="J19" s="22" t="s">
        <v>67</v>
      </c>
      <c r="K19" s="23"/>
      <c r="L19" s="23" t="str">
        <f>"57,5"</f>
        <v>57,5</v>
      </c>
      <c r="M19" s="23" t="str">
        <f>"73,0883"</f>
        <v>73,0883</v>
      </c>
      <c r="N19" s="27" t="s">
        <v>37</v>
      </c>
    </row>
    <row r="20" spans="1:14" ht="12.75">
      <c r="A20" s="23" t="s">
        <v>72</v>
      </c>
      <c r="B20" s="20" t="s">
        <v>523</v>
      </c>
      <c r="C20" s="20" t="s">
        <v>524</v>
      </c>
      <c r="D20" s="20" t="s">
        <v>525</v>
      </c>
      <c r="E20" s="20" t="str">
        <f>"1,2541"</f>
        <v>1,2541</v>
      </c>
      <c r="F20" s="20" t="s">
        <v>15</v>
      </c>
      <c r="G20" s="27" t="s">
        <v>526</v>
      </c>
      <c r="H20" s="21" t="s">
        <v>20</v>
      </c>
      <c r="I20" s="21" t="s">
        <v>44</v>
      </c>
      <c r="J20" s="22" t="s">
        <v>35</v>
      </c>
      <c r="K20" s="23"/>
      <c r="L20" s="23" t="str">
        <f>"52,5"</f>
        <v>52,5</v>
      </c>
      <c r="M20" s="23" t="str">
        <f>"65,8402"</f>
        <v>65,8402</v>
      </c>
      <c r="N20" s="27" t="s">
        <v>37</v>
      </c>
    </row>
    <row r="21" spans="1:14" ht="12.75">
      <c r="A21" s="23" t="s">
        <v>74</v>
      </c>
      <c r="B21" s="20" t="s">
        <v>527</v>
      </c>
      <c r="C21" s="20" t="s">
        <v>528</v>
      </c>
      <c r="D21" s="20" t="s">
        <v>529</v>
      </c>
      <c r="E21" s="20" t="str">
        <f>"1,2944"</f>
        <v>1,2944</v>
      </c>
      <c r="F21" s="20" t="s">
        <v>15</v>
      </c>
      <c r="G21" s="20" t="s">
        <v>16</v>
      </c>
      <c r="H21" s="22" t="s">
        <v>20</v>
      </c>
      <c r="I21" s="21" t="s">
        <v>20</v>
      </c>
      <c r="J21" s="22" t="s">
        <v>44</v>
      </c>
      <c r="K21" s="23"/>
      <c r="L21" s="23" t="str">
        <f>"50,0"</f>
        <v>50,0</v>
      </c>
      <c r="M21" s="23" t="str">
        <f>"64,7200"</f>
        <v>64,7200</v>
      </c>
      <c r="N21" s="27" t="s">
        <v>530</v>
      </c>
    </row>
    <row r="22" spans="1:14" ht="12.75">
      <c r="A22" s="23" t="s">
        <v>13</v>
      </c>
      <c r="B22" s="20" t="s">
        <v>531</v>
      </c>
      <c r="C22" s="20" t="s">
        <v>532</v>
      </c>
      <c r="D22" s="20" t="s">
        <v>533</v>
      </c>
      <c r="E22" s="20" t="str">
        <f>"1,2560"</f>
        <v>1,2560</v>
      </c>
      <c r="F22" s="20" t="s">
        <v>15</v>
      </c>
      <c r="G22" s="20" t="s">
        <v>16</v>
      </c>
      <c r="H22" s="22" t="s">
        <v>35</v>
      </c>
      <c r="I22" s="22" t="s">
        <v>35</v>
      </c>
      <c r="J22" s="22" t="s">
        <v>35</v>
      </c>
      <c r="K22" s="23"/>
      <c r="L22" s="23" t="s">
        <v>23</v>
      </c>
      <c r="M22" s="23" t="str">
        <f>"0,0000"</f>
        <v>0,0000</v>
      </c>
      <c r="N22" s="27" t="s">
        <v>37</v>
      </c>
    </row>
    <row r="23" spans="1:14" ht="12.75">
      <c r="A23" s="18" t="s">
        <v>24</v>
      </c>
      <c r="B23" s="16" t="s">
        <v>324</v>
      </c>
      <c r="C23" s="16" t="s">
        <v>534</v>
      </c>
      <c r="D23" s="16" t="s">
        <v>326</v>
      </c>
      <c r="E23" s="16" t="str">
        <f>"1,2711"</f>
        <v>1,2711</v>
      </c>
      <c r="F23" s="28" t="s">
        <v>86</v>
      </c>
      <c r="G23" s="16" t="s">
        <v>87</v>
      </c>
      <c r="H23" s="17" t="s">
        <v>27</v>
      </c>
      <c r="I23" s="17" t="s">
        <v>28</v>
      </c>
      <c r="J23" s="17" t="s">
        <v>91</v>
      </c>
      <c r="K23" s="18"/>
      <c r="L23" s="18" t="str">
        <f>"72,5"</f>
        <v>72,5</v>
      </c>
      <c r="M23" s="18" t="str">
        <f>"93,4449"</f>
        <v>93,4449</v>
      </c>
      <c r="N23" s="28" t="s">
        <v>327</v>
      </c>
    </row>
    <row r="24" ht="12.75">
      <c r="B24" s="6" t="s">
        <v>31</v>
      </c>
    </row>
    <row r="25" spans="1:13" ht="1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ht="12.75">
      <c r="A26" s="15" t="s">
        <v>24</v>
      </c>
      <c r="B26" s="12" t="s">
        <v>535</v>
      </c>
      <c r="C26" s="12" t="s">
        <v>536</v>
      </c>
      <c r="D26" s="12" t="s">
        <v>537</v>
      </c>
      <c r="E26" s="12" t="str">
        <f>"1,2106"</f>
        <v>1,2106</v>
      </c>
      <c r="F26" s="12" t="s">
        <v>15</v>
      </c>
      <c r="G26" s="12" t="s">
        <v>538</v>
      </c>
      <c r="H26" s="13" t="s">
        <v>48</v>
      </c>
      <c r="I26" s="14" t="s">
        <v>42</v>
      </c>
      <c r="J26" s="14" t="s">
        <v>42</v>
      </c>
      <c r="K26" s="15"/>
      <c r="L26" s="15" t="str">
        <f>"80,0"</f>
        <v>80,0</v>
      </c>
      <c r="M26" s="15" t="str">
        <f>"96,8480"</f>
        <v>96,8480</v>
      </c>
      <c r="N26" s="26" t="s">
        <v>539</v>
      </c>
    </row>
    <row r="27" spans="1:14" ht="12.75">
      <c r="A27" s="23" t="s">
        <v>38</v>
      </c>
      <c r="B27" s="20" t="s">
        <v>540</v>
      </c>
      <c r="C27" s="20" t="s">
        <v>541</v>
      </c>
      <c r="D27" s="20" t="s">
        <v>542</v>
      </c>
      <c r="E27" s="20" t="str">
        <f>"1,1799"</f>
        <v>1,1799</v>
      </c>
      <c r="F27" s="27" t="s">
        <v>86</v>
      </c>
      <c r="G27" s="20" t="s">
        <v>87</v>
      </c>
      <c r="H27" s="21" t="s">
        <v>73</v>
      </c>
      <c r="I27" s="22" t="s">
        <v>52</v>
      </c>
      <c r="J27" s="22" t="s">
        <v>52</v>
      </c>
      <c r="K27" s="23"/>
      <c r="L27" s="23" t="str">
        <f>"75,0"</f>
        <v>75,0</v>
      </c>
      <c r="M27" s="23" t="str">
        <f>"88,4925"</f>
        <v>88,4925</v>
      </c>
      <c r="N27" s="27" t="s">
        <v>543</v>
      </c>
    </row>
    <row r="28" spans="1:14" ht="12.75">
      <c r="A28" s="23" t="s">
        <v>72</v>
      </c>
      <c r="B28" s="20" t="s">
        <v>544</v>
      </c>
      <c r="C28" s="20" t="s">
        <v>545</v>
      </c>
      <c r="D28" s="20" t="s">
        <v>546</v>
      </c>
      <c r="E28" s="20" t="str">
        <f>"1,1916"</f>
        <v>1,1916</v>
      </c>
      <c r="F28" s="27" t="s">
        <v>285</v>
      </c>
      <c r="G28" s="20" t="s">
        <v>16</v>
      </c>
      <c r="H28" s="22" t="s">
        <v>27</v>
      </c>
      <c r="I28" s="21" t="s">
        <v>27</v>
      </c>
      <c r="J28" s="22" t="s">
        <v>67</v>
      </c>
      <c r="K28" s="23"/>
      <c r="L28" s="23" t="str">
        <f>"65,0"</f>
        <v>65,0</v>
      </c>
      <c r="M28" s="23" t="str">
        <f>"77,4540"</f>
        <v>77,4540</v>
      </c>
      <c r="N28" s="27" t="s">
        <v>547</v>
      </c>
    </row>
    <row r="29" spans="1:14" ht="12.75">
      <c r="A29" s="23" t="s">
        <v>74</v>
      </c>
      <c r="B29" s="20" t="s">
        <v>548</v>
      </c>
      <c r="C29" s="20" t="s">
        <v>549</v>
      </c>
      <c r="D29" s="20" t="s">
        <v>250</v>
      </c>
      <c r="E29" s="20" t="str">
        <f>"1,1950"</f>
        <v>1,1950</v>
      </c>
      <c r="F29" s="20" t="s">
        <v>15</v>
      </c>
      <c r="G29" s="20" t="s">
        <v>16</v>
      </c>
      <c r="H29" s="21" t="s">
        <v>21</v>
      </c>
      <c r="I29" s="21" t="s">
        <v>26</v>
      </c>
      <c r="J29" s="22" t="s">
        <v>71</v>
      </c>
      <c r="K29" s="23"/>
      <c r="L29" s="23" t="str">
        <f>"60,0"</f>
        <v>60,0</v>
      </c>
      <c r="M29" s="23" t="str">
        <f>"71,7000"</f>
        <v>71,7000</v>
      </c>
      <c r="N29" s="27" t="s">
        <v>550</v>
      </c>
    </row>
    <row r="30" spans="1:14" ht="12.75">
      <c r="A30" s="18" t="s">
        <v>85</v>
      </c>
      <c r="B30" s="16" t="s">
        <v>551</v>
      </c>
      <c r="C30" s="16" t="s">
        <v>552</v>
      </c>
      <c r="D30" s="16" t="s">
        <v>553</v>
      </c>
      <c r="E30" s="16" t="str">
        <f>"1,1967"</f>
        <v>1,1967</v>
      </c>
      <c r="F30" s="16" t="s">
        <v>15</v>
      </c>
      <c r="G30" s="28" t="s">
        <v>554</v>
      </c>
      <c r="H30" s="17" t="s">
        <v>35</v>
      </c>
      <c r="I30" s="19" t="s">
        <v>71</v>
      </c>
      <c r="J30" s="19" t="s">
        <v>71</v>
      </c>
      <c r="K30" s="18"/>
      <c r="L30" s="18" t="str">
        <f>"57,5"</f>
        <v>57,5</v>
      </c>
      <c r="M30" s="18" t="str">
        <f>"68,8102"</f>
        <v>68,8102</v>
      </c>
      <c r="N30" s="28" t="s">
        <v>555</v>
      </c>
    </row>
    <row r="31" ht="12.75">
      <c r="B31" s="6" t="s">
        <v>31</v>
      </c>
    </row>
    <row r="32" spans="1:13" ht="15">
      <c r="A32" s="43" t="s">
        <v>65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4" ht="12.75">
      <c r="A33" s="15" t="s">
        <v>24</v>
      </c>
      <c r="B33" s="12" t="s">
        <v>556</v>
      </c>
      <c r="C33" s="12" t="s">
        <v>557</v>
      </c>
      <c r="D33" s="12" t="s">
        <v>66</v>
      </c>
      <c r="E33" s="12" t="str">
        <f>"1,1178"</f>
        <v>1,1178</v>
      </c>
      <c r="F33" s="12" t="s">
        <v>15</v>
      </c>
      <c r="G33" s="26" t="s">
        <v>558</v>
      </c>
      <c r="H33" s="13" t="s">
        <v>73</v>
      </c>
      <c r="I33" s="14" t="s">
        <v>52</v>
      </c>
      <c r="J33" s="14" t="s">
        <v>52</v>
      </c>
      <c r="K33" s="15"/>
      <c r="L33" s="15" t="str">
        <f>"75,0"</f>
        <v>75,0</v>
      </c>
      <c r="M33" s="15" t="str">
        <f>"83,8350"</f>
        <v>83,8350</v>
      </c>
      <c r="N33" s="26" t="s">
        <v>559</v>
      </c>
    </row>
    <row r="34" spans="1:14" ht="12.75">
      <c r="A34" s="23" t="s">
        <v>38</v>
      </c>
      <c r="B34" s="20" t="s">
        <v>560</v>
      </c>
      <c r="C34" s="20" t="s">
        <v>561</v>
      </c>
      <c r="D34" s="20" t="s">
        <v>75</v>
      </c>
      <c r="E34" s="20" t="str">
        <f>"1,1295"</f>
        <v>1,1295</v>
      </c>
      <c r="F34" s="20" t="s">
        <v>15</v>
      </c>
      <c r="G34" s="20" t="s">
        <v>16</v>
      </c>
      <c r="H34" s="21" t="s">
        <v>27</v>
      </c>
      <c r="I34" s="21" t="s">
        <v>67</v>
      </c>
      <c r="J34" s="22" t="s">
        <v>28</v>
      </c>
      <c r="K34" s="23"/>
      <c r="L34" s="23" t="str">
        <f>"67,5"</f>
        <v>67,5</v>
      </c>
      <c r="M34" s="23" t="str">
        <f>"76,2413"</f>
        <v>76,2413</v>
      </c>
      <c r="N34" s="27" t="s">
        <v>37</v>
      </c>
    </row>
    <row r="35" spans="1:14" ht="12.75">
      <c r="A35" s="23" t="s">
        <v>72</v>
      </c>
      <c r="B35" s="20" t="s">
        <v>562</v>
      </c>
      <c r="C35" s="20" t="s">
        <v>563</v>
      </c>
      <c r="D35" s="20" t="s">
        <v>77</v>
      </c>
      <c r="E35" s="20" t="str">
        <f>"1,1207"</f>
        <v>1,1207</v>
      </c>
      <c r="F35" s="20" t="s">
        <v>15</v>
      </c>
      <c r="G35" s="20" t="s">
        <v>16</v>
      </c>
      <c r="H35" s="21" t="s">
        <v>26</v>
      </c>
      <c r="I35" s="21" t="s">
        <v>71</v>
      </c>
      <c r="J35" s="22" t="s">
        <v>67</v>
      </c>
      <c r="K35" s="23"/>
      <c r="L35" s="23" t="str">
        <f>"62,5"</f>
        <v>62,5</v>
      </c>
      <c r="M35" s="23" t="str">
        <f>"70,0438"</f>
        <v>70,0438</v>
      </c>
      <c r="N35" s="27" t="s">
        <v>564</v>
      </c>
    </row>
    <row r="36" spans="1:14" ht="12.75">
      <c r="A36" s="23" t="s">
        <v>24</v>
      </c>
      <c r="B36" s="20" t="s">
        <v>565</v>
      </c>
      <c r="C36" s="20" t="s">
        <v>566</v>
      </c>
      <c r="D36" s="20" t="s">
        <v>567</v>
      </c>
      <c r="E36" s="20" t="str">
        <f>"1,1266"</f>
        <v>1,1266</v>
      </c>
      <c r="F36" s="20" t="s">
        <v>15</v>
      </c>
      <c r="G36" s="20" t="s">
        <v>568</v>
      </c>
      <c r="H36" s="22" t="s">
        <v>52</v>
      </c>
      <c r="I36" s="22" t="s">
        <v>52</v>
      </c>
      <c r="J36" s="21" t="s">
        <v>52</v>
      </c>
      <c r="K36" s="23"/>
      <c r="L36" s="23" t="str">
        <f>"77,5"</f>
        <v>77,5</v>
      </c>
      <c r="M36" s="23" t="str">
        <f>"87,3115"</f>
        <v>87,3115</v>
      </c>
      <c r="N36" s="27" t="s">
        <v>37</v>
      </c>
    </row>
    <row r="37" spans="1:14" ht="12.75">
      <c r="A37" s="23" t="s">
        <v>38</v>
      </c>
      <c r="B37" s="20" t="s">
        <v>569</v>
      </c>
      <c r="C37" s="20" t="s">
        <v>570</v>
      </c>
      <c r="D37" s="20" t="s">
        <v>571</v>
      </c>
      <c r="E37" s="20" t="str">
        <f>"1,1325"</f>
        <v>1,1325</v>
      </c>
      <c r="F37" s="20" t="s">
        <v>15</v>
      </c>
      <c r="G37" s="20" t="s">
        <v>16</v>
      </c>
      <c r="H37" s="21" t="s">
        <v>28</v>
      </c>
      <c r="I37" s="21" t="s">
        <v>73</v>
      </c>
      <c r="J37" s="22" t="s">
        <v>52</v>
      </c>
      <c r="K37" s="23"/>
      <c r="L37" s="23" t="str">
        <f>"75,0"</f>
        <v>75,0</v>
      </c>
      <c r="M37" s="23" t="str">
        <f>"84,9375"</f>
        <v>84,9375</v>
      </c>
      <c r="N37" s="27" t="s">
        <v>572</v>
      </c>
    </row>
    <row r="38" spans="1:14" ht="12.75">
      <c r="A38" s="23" t="s">
        <v>72</v>
      </c>
      <c r="B38" s="20" t="s">
        <v>573</v>
      </c>
      <c r="C38" s="20" t="s">
        <v>574</v>
      </c>
      <c r="D38" s="20" t="s">
        <v>97</v>
      </c>
      <c r="E38" s="20" t="str">
        <f>"1,1416"</f>
        <v>1,1416</v>
      </c>
      <c r="F38" s="20" t="s">
        <v>15</v>
      </c>
      <c r="G38" s="20" t="s">
        <v>16</v>
      </c>
      <c r="H38" s="21" t="s">
        <v>20</v>
      </c>
      <c r="I38" s="21" t="s">
        <v>35</v>
      </c>
      <c r="J38" s="21" t="s">
        <v>27</v>
      </c>
      <c r="K38" s="23"/>
      <c r="L38" s="23" t="str">
        <f>"65,0"</f>
        <v>65,0</v>
      </c>
      <c r="M38" s="23" t="str">
        <f>"74,2040"</f>
        <v>74,2040</v>
      </c>
      <c r="N38" s="27" t="s">
        <v>575</v>
      </c>
    </row>
    <row r="39" spans="1:14" ht="12.75">
      <c r="A39" s="23" t="s">
        <v>74</v>
      </c>
      <c r="B39" s="20" t="s">
        <v>576</v>
      </c>
      <c r="C39" s="20" t="s">
        <v>577</v>
      </c>
      <c r="D39" s="20" t="s">
        <v>578</v>
      </c>
      <c r="E39" s="20" t="str">
        <f>"1,1401"</f>
        <v>1,1401</v>
      </c>
      <c r="F39" s="20" t="s">
        <v>15</v>
      </c>
      <c r="G39" s="20" t="s">
        <v>264</v>
      </c>
      <c r="H39" s="21" t="s">
        <v>27</v>
      </c>
      <c r="I39" s="22" t="s">
        <v>28</v>
      </c>
      <c r="J39" s="22" t="s">
        <v>28</v>
      </c>
      <c r="K39" s="23"/>
      <c r="L39" s="23" t="str">
        <f>"65,0"</f>
        <v>65,0</v>
      </c>
      <c r="M39" s="23" t="str">
        <f>"74,1065"</f>
        <v>74,1065</v>
      </c>
      <c r="N39" s="27" t="s">
        <v>579</v>
      </c>
    </row>
    <row r="40" spans="1:14" ht="12.75">
      <c r="A40" s="23" t="s">
        <v>85</v>
      </c>
      <c r="B40" s="20" t="s">
        <v>580</v>
      </c>
      <c r="C40" s="20" t="s">
        <v>581</v>
      </c>
      <c r="D40" s="20" t="s">
        <v>77</v>
      </c>
      <c r="E40" s="20" t="str">
        <f>"1,1207"</f>
        <v>1,1207</v>
      </c>
      <c r="F40" s="20" t="s">
        <v>15</v>
      </c>
      <c r="G40" s="20" t="s">
        <v>582</v>
      </c>
      <c r="H40" s="22" t="s">
        <v>71</v>
      </c>
      <c r="I40" s="22" t="s">
        <v>71</v>
      </c>
      <c r="J40" s="21" t="s">
        <v>71</v>
      </c>
      <c r="K40" s="23"/>
      <c r="L40" s="23" t="str">
        <f>"62,5"</f>
        <v>62,5</v>
      </c>
      <c r="M40" s="23" t="str">
        <f>"70,0438"</f>
        <v>70,0438</v>
      </c>
      <c r="N40" s="27" t="s">
        <v>583</v>
      </c>
    </row>
    <row r="41" spans="1:14" ht="12.75">
      <c r="A41" s="23" t="s">
        <v>136</v>
      </c>
      <c r="B41" s="20" t="s">
        <v>584</v>
      </c>
      <c r="C41" s="20" t="s">
        <v>585</v>
      </c>
      <c r="D41" s="20" t="s">
        <v>586</v>
      </c>
      <c r="E41" s="20" t="str">
        <f>"1,1236"</f>
        <v>1,1236</v>
      </c>
      <c r="F41" s="20" t="s">
        <v>15</v>
      </c>
      <c r="G41" s="20" t="s">
        <v>16</v>
      </c>
      <c r="H41" s="21" t="s">
        <v>35</v>
      </c>
      <c r="I41" s="22" t="s">
        <v>26</v>
      </c>
      <c r="J41" s="22" t="s">
        <v>26</v>
      </c>
      <c r="K41" s="23"/>
      <c r="L41" s="23" t="str">
        <f>"57,5"</f>
        <v>57,5</v>
      </c>
      <c r="M41" s="23" t="str">
        <f>"64,6070"</f>
        <v>64,6070</v>
      </c>
      <c r="N41" s="27" t="s">
        <v>587</v>
      </c>
    </row>
    <row r="42" spans="1:14" ht="12.75">
      <c r="A42" s="18" t="s">
        <v>139</v>
      </c>
      <c r="B42" s="16" t="s">
        <v>588</v>
      </c>
      <c r="C42" s="16" t="s">
        <v>589</v>
      </c>
      <c r="D42" s="16" t="s">
        <v>590</v>
      </c>
      <c r="E42" s="16" t="str">
        <f>"1,1221"</f>
        <v>1,1221</v>
      </c>
      <c r="F42" s="16" t="s">
        <v>15</v>
      </c>
      <c r="G42" s="16" t="s">
        <v>16</v>
      </c>
      <c r="H42" s="17" t="s">
        <v>43</v>
      </c>
      <c r="I42" s="19" t="s">
        <v>44</v>
      </c>
      <c r="J42" s="19" t="s">
        <v>44</v>
      </c>
      <c r="K42" s="18"/>
      <c r="L42" s="18" t="str">
        <f>"47,5"</f>
        <v>47,5</v>
      </c>
      <c r="M42" s="18" t="str">
        <f>"53,2997"</f>
        <v>53,2997</v>
      </c>
      <c r="N42" s="28" t="s">
        <v>517</v>
      </c>
    </row>
    <row r="43" ht="12.75">
      <c r="B43" s="6" t="s">
        <v>31</v>
      </c>
    </row>
    <row r="44" spans="1:13" ht="15">
      <c r="A44" s="43" t="s">
        <v>78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4" ht="12.75">
      <c r="A45" s="15" t="s">
        <v>24</v>
      </c>
      <c r="B45" s="12" t="s">
        <v>591</v>
      </c>
      <c r="C45" s="12" t="s">
        <v>437</v>
      </c>
      <c r="D45" s="12" t="s">
        <v>592</v>
      </c>
      <c r="E45" s="12" t="str">
        <f>"1,0676"</f>
        <v>1,0676</v>
      </c>
      <c r="F45" s="26" t="s">
        <v>285</v>
      </c>
      <c r="G45" s="12" t="s">
        <v>16</v>
      </c>
      <c r="H45" s="13" t="s">
        <v>18</v>
      </c>
      <c r="I45" s="14" t="s">
        <v>55</v>
      </c>
      <c r="J45" s="14" t="s">
        <v>55</v>
      </c>
      <c r="K45" s="15"/>
      <c r="L45" s="15" t="str">
        <f>"90,0"</f>
        <v>90,0</v>
      </c>
      <c r="M45" s="15" t="str">
        <f>"96,0840"</f>
        <v>96,0840</v>
      </c>
      <c r="N45" s="26" t="s">
        <v>547</v>
      </c>
    </row>
    <row r="46" spans="1:14" ht="12.75">
      <c r="A46" s="23" t="s">
        <v>38</v>
      </c>
      <c r="B46" s="20" t="s">
        <v>593</v>
      </c>
      <c r="C46" s="20" t="s">
        <v>594</v>
      </c>
      <c r="D46" s="20" t="s">
        <v>595</v>
      </c>
      <c r="E46" s="20" t="str">
        <f>"1,0911"</f>
        <v>1,0911</v>
      </c>
      <c r="F46" s="20" t="s">
        <v>15</v>
      </c>
      <c r="G46" s="20" t="s">
        <v>596</v>
      </c>
      <c r="H46" s="21" t="s">
        <v>73</v>
      </c>
      <c r="I46" s="21" t="s">
        <v>48</v>
      </c>
      <c r="J46" s="21" t="s">
        <v>46</v>
      </c>
      <c r="K46" s="23"/>
      <c r="L46" s="23" t="str">
        <f>"82,5"</f>
        <v>82,5</v>
      </c>
      <c r="M46" s="23" t="str">
        <f>"90,0157"</f>
        <v>90,0157</v>
      </c>
      <c r="N46" s="27" t="s">
        <v>37</v>
      </c>
    </row>
    <row r="47" spans="1:14" ht="12.75">
      <c r="A47" s="23" t="s">
        <v>13</v>
      </c>
      <c r="B47" s="20" t="s">
        <v>597</v>
      </c>
      <c r="C47" s="20" t="s">
        <v>598</v>
      </c>
      <c r="D47" s="20" t="s">
        <v>599</v>
      </c>
      <c r="E47" s="20" t="str">
        <f>"1,0925"</f>
        <v>1,0925</v>
      </c>
      <c r="F47" s="20" t="s">
        <v>15</v>
      </c>
      <c r="G47" s="20" t="s">
        <v>16</v>
      </c>
      <c r="H47" s="22" t="s">
        <v>35</v>
      </c>
      <c r="I47" s="22" t="s">
        <v>35</v>
      </c>
      <c r="J47" s="22" t="s">
        <v>26</v>
      </c>
      <c r="K47" s="23"/>
      <c r="L47" s="23" t="s">
        <v>23</v>
      </c>
      <c r="M47" s="23" t="str">
        <f>"0,0000"</f>
        <v>0,0000</v>
      </c>
      <c r="N47" s="27" t="s">
        <v>600</v>
      </c>
    </row>
    <row r="48" spans="1:14" ht="12.75">
      <c r="A48" s="23" t="s">
        <v>24</v>
      </c>
      <c r="B48" s="20" t="s">
        <v>601</v>
      </c>
      <c r="C48" s="20" t="s">
        <v>602</v>
      </c>
      <c r="D48" s="20" t="s">
        <v>344</v>
      </c>
      <c r="E48" s="20" t="str">
        <f>"1,0467"</f>
        <v>1,0467</v>
      </c>
      <c r="F48" s="20" t="s">
        <v>15</v>
      </c>
      <c r="G48" s="20" t="s">
        <v>349</v>
      </c>
      <c r="H48" s="21" t="s">
        <v>20</v>
      </c>
      <c r="I48" s="21" t="s">
        <v>21</v>
      </c>
      <c r="J48" s="21" t="s">
        <v>35</v>
      </c>
      <c r="K48" s="23"/>
      <c r="L48" s="23" t="str">
        <f>"57,5"</f>
        <v>57,5</v>
      </c>
      <c r="M48" s="23" t="str">
        <f>"60,1853"</f>
        <v>60,1853</v>
      </c>
      <c r="N48" s="27" t="s">
        <v>603</v>
      </c>
    </row>
    <row r="49" spans="1:14" ht="12.75">
      <c r="A49" s="23" t="s">
        <v>24</v>
      </c>
      <c r="B49" s="20" t="s">
        <v>604</v>
      </c>
      <c r="C49" s="20" t="s">
        <v>605</v>
      </c>
      <c r="D49" s="20" t="s">
        <v>606</v>
      </c>
      <c r="E49" s="20" t="str">
        <f>"1,0638"</f>
        <v>1,0638</v>
      </c>
      <c r="F49" s="27" t="s">
        <v>285</v>
      </c>
      <c r="G49" s="20" t="s">
        <v>16</v>
      </c>
      <c r="H49" s="21" t="s">
        <v>91</v>
      </c>
      <c r="I49" s="21" t="s">
        <v>73</v>
      </c>
      <c r="J49" s="21" t="s">
        <v>52</v>
      </c>
      <c r="K49" s="23"/>
      <c r="L49" s="23" t="str">
        <f>"77,5"</f>
        <v>77,5</v>
      </c>
      <c r="M49" s="23" t="str">
        <f>"96,2952"</f>
        <v>96,2952</v>
      </c>
      <c r="N49" s="27" t="s">
        <v>607</v>
      </c>
    </row>
    <row r="50" spans="1:14" ht="12.75">
      <c r="A50" s="18" t="s">
        <v>38</v>
      </c>
      <c r="B50" s="16" t="s">
        <v>608</v>
      </c>
      <c r="C50" s="16" t="s">
        <v>609</v>
      </c>
      <c r="D50" s="16" t="s">
        <v>610</v>
      </c>
      <c r="E50" s="16" t="str">
        <f>"1,1021"</f>
        <v>1,1021</v>
      </c>
      <c r="F50" s="16" t="s">
        <v>15</v>
      </c>
      <c r="G50" s="16" t="s">
        <v>16</v>
      </c>
      <c r="H50" s="17" t="s">
        <v>29</v>
      </c>
      <c r="I50" s="17" t="s">
        <v>51</v>
      </c>
      <c r="J50" s="17" t="s">
        <v>49</v>
      </c>
      <c r="K50" s="18"/>
      <c r="L50" s="18" t="str">
        <f>"42,5"</f>
        <v>42,5</v>
      </c>
      <c r="M50" s="18" t="str">
        <f>"54,7082"</f>
        <v>54,7082</v>
      </c>
      <c r="N50" s="28" t="s">
        <v>603</v>
      </c>
    </row>
    <row r="51" ht="12.75">
      <c r="B51" s="6" t="s">
        <v>31</v>
      </c>
    </row>
    <row r="52" spans="1:13" ht="15">
      <c r="A52" s="43" t="s">
        <v>89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4" ht="12.75">
      <c r="A53" s="15" t="s">
        <v>24</v>
      </c>
      <c r="B53" s="12" t="s">
        <v>611</v>
      </c>
      <c r="C53" s="12" t="s">
        <v>612</v>
      </c>
      <c r="D53" s="12" t="s">
        <v>114</v>
      </c>
      <c r="E53" s="12" t="str">
        <f>"0,9522"</f>
        <v>0,9522</v>
      </c>
      <c r="F53" s="12" t="s">
        <v>15</v>
      </c>
      <c r="G53" s="12" t="s">
        <v>290</v>
      </c>
      <c r="H53" s="13" t="s">
        <v>67</v>
      </c>
      <c r="I53" s="13" t="s">
        <v>73</v>
      </c>
      <c r="J53" s="14" t="s">
        <v>52</v>
      </c>
      <c r="K53" s="15"/>
      <c r="L53" s="15" t="str">
        <f>"75,0"</f>
        <v>75,0</v>
      </c>
      <c r="M53" s="15" t="str">
        <f>"71,4150"</f>
        <v>71,4150</v>
      </c>
      <c r="N53" s="26" t="s">
        <v>613</v>
      </c>
    </row>
    <row r="54" spans="1:14" ht="12.75">
      <c r="A54" s="23" t="s">
        <v>38</v>
      </c>
      <c r="B54" s="20" t="s">
        <v>614</v>
      </c>
      <c r="C54" s="20" t="s">
        <v>615</v>
      </c>
      <c r="D54" s="20" t="s">
        <v>616</v>
      </c>
      <c r="E54" s="20" t="str">
        <f>"1,0153"</f>
        <v>1,0153</v>
      </c>
      <c r="F54" s="27" t="s">
        <v>93</v>
      </c>
      <c r="G54" s="20" t="s">
        <v>16</v>
      </c>
      <c r="H54" s="21" t="s">
        <v>27</v>
      </c>
      <c r="I54" s="21" t="s">
        <v>67</v>
      </c>
      <c r="J54" s="22" t="s">
        <v>28</v>
      </c>
      <c r="K54" s="23"/>
      <c r="L54" s="23" t="str">
        <f>"67,5"</f>
        <v>67,5</v>
      </c>
      <c r="M54" s="23" t="str">
        <f>"68,5328"</f>
        <v>68,5328</v>
      </c>
      <c r="N54" s="27" t="s">
        <v>37</v>
      </c>
    </row>
    <row r="55" spans="1:14" ht="12.75">
      <c r="A55" s="23" t="s">
        <v>24</v>
      </c>
      <c r="B55" s="20" t="s">
        <v>617</v>
      </c>
      <c r="C55" s="20" t="s">
        <v>618</v>
      </c>
      <c r="D55" s="20" t="s">
        <v>106</v>
      </c>
      <c r="E55" s="20" t="str">
        <f>"0,9663"</f>
        <v>0,9663</v>
      </c>
      <c r="F55" s="20" t="s">
        <v>15</v>
      </c>
      <c r="G55" s="20" t="s">
        <v>619</v>
      </c>
      <c r="H55" s="22" t="s">
        <v>71</v>
      </c>
      <c r="I55" s="21" t="s">
        <v>71</v>
      </c>
      <c r="J55" s="22" t="s">
        <v>28</v>
      </c>
      <c r="K55" s="23"/>
      <c r="L55" s="23" t="str">
        <f>"62,5"</f>
        <v>62,5</v>
      </c>
      <c r="M55" s="23" t="str">
        <f>"66,1916"</f>
        <v>66,1916</v>
      </c>
      <c r="N55" s="27" t="s">
        <v>620</v>
      </c>
    </row>
    <row r="56" spans="1:14" ht="12.75">
      <c r="A56" s="18" t="s">
        <v>38</v>
      </c>
      <c r="B56" s="16" t="s">
        <v>621</v>
      </c>
      <c r="C56" s="16" t="s">
        <v>622</v>
      </c>
      <c r="D56" s="16" t="s">
        <v>623</v>
      </c>
      <c r="E56" s="16" t="str">
        <f>"0,9862"</f>
        <v>0,9862</v>
      </c>
      <c r="F56" s="16" t="s">
        <v>15</v>
      </c>
      <c r="G56" s="16" t="s">
        <v>349</v>
      </c>
      <c r="H56" s="17" t="s">
        <v>51</v>
      </c>
      <c r="I56" s="17" t="s">
        <v>56</v>
      </c>
      <c r="J56" s="17" t="s">
        <v>20</v>
      </c>
      <c r="K56" s="18"/>
      <c r="L56" s="18" t="str">
        <f>"50,0"</f>
        <v>50,0</v>
      </c>
      <c r="M56" s="18" t="str">
        <f>"51,4796"</f>
        <v>51,4796</v>
      </c>
      <c r="N56" s="28" t="s">
        <v>603</v>
      </c>
    </row>
    <row r="57" ht="12.75">
      <c r="B57" s="6" t="s">
        <v>31</v>
      </c>
    </row>
    <row r="58" spans="1:13" ht="15">
      <c r="A58" s="43" t="s">
        <v>47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4" ht="12.75">
      <c r="A59" s="15" t="s">
        <v>24</v>
      </c>
      <c r="B59" s="12" t="s">
        <v>339</v>
      </c>
      <c r="C59" s="12" t="s">
        <v>340</v>
      </c>
      <c r="D59" s="12" t="s">
        <v>328</v>
      </c>
      <c r="E59" s="12" t="str">
        <f>"1,0016"</f>
        <v>1,0016</v>
      </c>
      <c r="F59" s="12" t="s">
        <v>233</v>
      </c>
      <c r="G59" s="12" t="s">
        <v>234</v>
      </c>
      <c r="H59" s="14" t="s">
        <v>42</v>
      </c>
      <c r="I59" s="13" t="s">
        <v>42</v>
      </c>
      <c r="J59" s="13" t="s">
        <v>18</v>
      </c>
      <c r="K59" s="15"/>
      <c r="L59" s="15" t="str">
        <f>"90,0"</f>
        <v>90,0</v>
      </c>
      <c r="M59" s="15" t="str">
        <f>"90,1440"</f>
        <v>90,1440</v>
      </c>
      <c r="N59" s="26" t="s">
        <v>341</v>
      </c>
    </row>
    <row r="60" spans="1:14" ht="12.75">
      <c r="A60" s="23" t="s">
        <v>38</v>
      </c>
      <c r="B60" s="20" t="s">
        <v>624</v>
      </c>
      <c r="C60" s="20" t="s">
        <v>625</v>
      </c>
      <c r="D60" s="20" t="s">
        <v>626</v>
      </c>
      <c r="E60" s="20" t="str">
        <f>"1,0188"</f>
        <v>1,0188</v>
      </c>
      <c r="F60" s="20" t="s">
        <v>15</v>
      </c>
      <c r="G60" s="20" t="s">
        <v>627</v>
      </c>
      <c r="H60" s="21" t="s">
        <v>20</v>
      </c>
      <c r="I60" s="22" t="s">
        <v>21</v>
      </c>
      <c r="J60" s="21" t="s">
        <v>35</v>
      </c>
      <c r="K60" s="23"/>
      <c r="L60" s="23" t="str">
        <f>"57,5"</f>
        <v>57,5</v>
      </c>
      <c r="M60" s="23" t="str">
        <f>"58,5810"</f>
        <v>58,5810</v>
      </c>
      <c r="N60" s="27" t="s">
        <v>628</v>
      </c>
    </row>
    <row r="61" spans="1:14" ht="12.75">
      <c r="A61" s="18" t="s">
        <v>24</v>
      </c>
      <c r="B61" s="16" t="s">
        <v>629</v>
      </c>
      <c r="C61" s="16" t="s">
        <v>630</v>
      </c>
      <c r="D61" s="16" t="s">
        <v>631</v>
      </c>
      <c r="E61" s="16" t="str">
        <f>"0,9954"</f>
        <v>0,9954</v>
      </c>
      <c r="F61" s="16" t="s">
        <v>86</v>
      </c>
      <c r="G61" s="16" t="s">
        <v>87</v>
      </c>
      <c r="H61" s="17" t="s">
        <v>17</v>
      </c>
      <c r="I61" s="19" t="s">
        <v>19</v>
      </c>
      <c r="J61" s="19" t="s">
        <v>19</v>
      </c>
      <c r="K61" s="18"/>
      <c r="L61" s="18" t="str">
        <f>"87,5"</f>
        <v>87,5</v>
      </c>
      <c r="M61" s="18" t="str">
        <f>"115,1429"</f>
        <v>115,1429</v>
      </c>
      <c r="N61" s="28" t="s">
        <v>37</v>
      </c>
    </row>
    <row r="62" ht="12.75">
      <c r="B62" s="6" t="s">
        <v>31</v>
      </c>
    </row>
    <row r="63" spans="1:13" ht="15">
      <c r="A63" s="43" t="s">
        <v>50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4" ht="12.75">
      <c r="A64" s="10" t="s">
        <v>24</v>
      </c>
      <c r="B64" s="8" t="s">
        <v>632</v>
      </c>
      <c r="C64" s="8" t="s">
        <v>633</v>
      </c>
      <c r="D64" s="8" t="s">
        <v>444</v>
      </c>
      <c r="E64" s="8" t="str">
        <f>"0,9119"</f>
        <v>0,9119</v>
      </c>
      <c r="F64" s="8" t="s">
        <v>15</v>
      </c>
      <c r="G64" s="8" t="s">
        <v>209</v>
      </c>
      <c r="H64" s="11" t="s">
        <v>48</v>
      </c>
      <c r="I64" s="9" t="s">
        <v>42</v>
      </c>
      <c r="J64" s="11" t="s">
        <v>18</v>
      </c>
      <c r="K64" s="10"/>
      <c r="L64" s="10" t="str">
        <f>"85,0"</f>
        <v>85,0</v>
      </c>
      <c r="M64" s="10" t="str">
        <f>"77,5115"</f>
        <v>77,5115</v>
      </c>
      <c r="N64" s="30" t="s">
        <v>634</v>
      </c>
    </row>
    <row r="65" ht="12.75">
      <c r="B65" s="6" t="s">
        <v>31</v>
      </c>
    </row>
    <row r="66" spans="1:13" ht="15">
      <c r="A66" s="43" t="s">
        <v>65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4" ht="12.75">
      <c r="A67" s="15" t="s">
        <v>24</v>
      </c>
      <c r="B67" s="12" t="s">
        <v>635</v>
      </c>
      <c r="C67" s="12" t="s">
        <v>636</v>
      </c>
      <c r="D67" s="12" t="s">
        <v>637</v>
      </c>
      <c r="E67" s="12" t="str">
        <f>"0,8830"</f>
        <v>0,8830</v>
      </c>
      <c r="F67" s="12" t="s">
        <v>15</v>
      </c>
      <c r="G67" s="12" t="s">
        <v>638</v>
      </c>
      <c r="H67" s="13" t="s">
        <v>18</v>
      </c>
      <c r="I67" s="14" t="s">
        <v>96</v>
      </c>
      <c r="J67" s="13" t="s">
        <v>96</v>
      </c>
      <c r="K67" s="15"/>
      <c r="L67" s="15" t="str">
        <f>"97,5"</f>
        <v>97,5</v>
      </c>
      <c r="M67" s="15" t="str">
        <f>"86,0925"</f>
        <v>86,0925</v>
      </c>
      <c r="N67" s="26" t="s">
        <v>639</v>
      </c>
    </row>
    <row r="68" spans="1:14" ht="12.75">
      <c r="A68" s="23" t="s">
        <v>24</v>
      </c>
      <c r="B68" s="20" t="s">
        <v>640</v>
      </c>
      <c r="C68" s="20" t="s">
        <v>641</v>
      </c>
      <c r="D68" s="20" t="s">
        <v>578</v>
      </c>
      <c r="E68" s="20" t="str">
        <f>"0,8759"</f>
        <v>0,8759</v>
      </c>
      <c r="F68" s="20" t="s">
        <v>270</v>
      </c>
      <c r="G68" s="20" t="s">
        <v>271</v>
      </c>
      <c r="H68" s="21" t="s">
        <v>29</v>
      </c>
      <c r="I68" s="21" t="s">
        <v>20</v>
      </c>
      <c r="J68" s="22" t="s">
        <v>21</v>
      </c>
      <c r="K68" s="23"/>
      <c r="L68" s="23" t="str">
        <f>"50,0"</f>
        <v>50,0</v>
      </c>
      <c r="M68" s="23" t="str">
        <f>"43,7950"</f>
        <v>43,7950</v>
      </c>
      <c r="N68" s="27" t="s">
        <v>37</v>
      </c>
    </row>
    <row r="69" spans="1:14" ht="12.75">
      <c r="A69" s="23" t="s">
        <v>24</v>
      </c>
      <c r="B69" s="20" t="s">
        <v>642</v>
      </c>
      <c r="C69" s="20" t="s">
        <v>643</v>
      </c>
      <c r="D69" s="20" t="s">
        <v>342</v>
      </c>
      <c r="E69" s="20" t="str">
        <f>"0,8542"</f>
        <v>0,8542</v>
      </c>
      <c r="F69" s="20" t="s">
        <v>15</v>
      </c>
      <c r="G69" s="27" t="s">
        <v>267</v>
      </c>
      <c r="H69" s="21" t="s">
        <v>64</v>
      </c>
      <c r="I69" s="21" t="s">
        <v>57</v>
      </c>
      <c r="J69" s="22" t="s">
        <v>58</v>
      </c>
      <c r="K69" s="23"/>
      <c r="L69" s="23" t="str">
        <f>"130,0"</f>
        <v>130,0</v>
      </c>
      <c r="M69" s="23" t="str">
        <f>"111,0460"</f>
        <v>111,0460</v>
      </c>
      <c r="N69" s="27" t="s">
        <v>644</v>
      </c>
    </row>
    <row r="70" spans="1:14" ht="12.75">
      <c r="A70" s="18" t="s">
        <v>38</v>
      </c>
      <c r="B70" s="16" t="s">
        <v>645</v>
      </c>
      <c r="C70" s="16" t="s">
        <v>646</v>
      </c>
      <c r="D70" s="16" t="s">
        <v>332</v>
      </c>
      <c r="E70" s="16" t="str">
        <f>"0,8675"</f>
        <v>0,8675</v>
      </c>
      <c r="F70" s="16" t="s">
        <v>15</v>
      </c>
      <c r="G70" s="16" t="s">
        <v>440</v>
      </c>
      <c r="H70" s="17" t="s">
        <v>63</v>
      </c>
      <c r="I70" s="19" t="s">
        <v>84</v>
      </c>
      <c r="J70" s="17" t="s">
        <v>84</v>
      </c>
      <c r="K70" s="18"/>
      <c r="L70" s="18" t="str">
        <f>"112,5"</f>
        <v>112,5</v>
      </c>
      <c r="M70" s="18" t="str">
        <f>"97,5938"</f>
        <v>97,5938</v>
      </c>
      <c r="N70" s="28" t="s">
        <v>647</v>
      </c>
    </row>
    <row r="71" ht="12.75">
      <c r="B71" s="6" t="s">
        <v>31</v>
      </c>
    </row>
    <row r="72" spans="1:13" ht="15">
      <c r="A72" s="43" t="s">
        <v>78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4" ht="12.75">
      <c r="A73" s="15" t="s">
        <v>24</v>
      </c>
      <c r="B73" s="12" t="s">
        <v>648</v>
      </c>
      <c r="C73" s="12" t="s">
        <v>649</v>
      </c>
      <c r="D73" s="12" t="s">
        <v>650</v>
      </c>
      <c r="E73" s="12" t="str">
        <f>"0,8293"</f>
        <v>0,8293</v>
      </c>
      <c r="F73" s="12" t="s">
        <v>15</v>
      </c>
      <c r="G73" s="12" t="s">
        <v>651</v>
      </c>
      <c r="H73" s="13" t="s">
        <v>63</v>
      </c>
      <c r="I73" s="13" t="s">
        <v>34</v>
      </c>
      <c r="J73" s="13" t="s">
        <v>64</v>
      </c>
      <c r="K73" s="15"/>
      <c r="L73" s="15" t="str">
        <f>"120,0"</f>
        <v>120,0</v>
      </c>
      <c r="M73" s="15" t="str">
        <f>"99,5160"</f>
        <v>99,5160</v>
      </c>
      <c r="N73" s="26" t="s">
        <v>37</v>
      </c>
    </row>
    <row r="74" spans="1:14" ht="12.75">
      <c r="A74" s="23" t="s">
        <v>38</v>
      </c>
      <c r="B74" s="20" t="s">
        <v>652</v>
      </c>
      <c r="C74" s="20" t="s">
        <v>653</v>
      </c>
      <c r="D74" s="20" t="s">
        <v>654</v>
      </c>
      <c r="E74" s="20" t="str">
        <f>"0,7891"</f>
        <v>0,7891</v>
      </c>
      <c r="F74" s="20" t="s">
        <v>15</v>
      </c>
      <c r="G74" s="20" t="s">
        <v>16</v>
      </c>
      <c r="H74" s="21" t="s">
        <v>18</v>
      </c>
      <c r="I74" s="21" t="s">
        <v>96</v>
      </c>
      <c r="J74" s="22" t="s">
        <v>62</v>
      </c>
      <c r="K74" s="23"/>
      <c r="L74" s="23" t="str">
        <f>"97,5"</f>
        <v>97,5</v>
      </c>
      <c r="M74" s="23" t="str">
        <f>"76,9372"</f>
        <v>76,9372</v>
      </c>
      <c r="N74" s="27" t="s">
        <v>655</v>
      </c>
    </row>
    <row r="75" spans="1:14" ht="12.75">
      <c r="A75" s="23" t="s">
        <v>72</v>
      </c>
      <c r="B75" s="20" t="s">
        <v>656</v>
      </c>
      <c r="C75" s="20" t="s">
        <v>657</v>
      </c>
      <c r="D75" s="20" t="s">
        <v>658</v>
      </c>
      <c r="E75" s="20" t="str">
        <f>"0,7756"</f>
        <v>0,7756</v>
      </c>
      <c r="F75" s="20" t="s">
        <v>15</v>
      </c>
      <c r="G75" s="20" t="s">
        <v>16</v>
      </c>
      <c r="H75" s="21" t="s">
        <v>26</v>
      </c>
      <c r="I75" s="21" t="s">
        <v>28</v>
      </c>
      <c r="J75" s="21" t="s">
        <v>48</v>
      </c>
      <c r="K75" s="23"/>
      <c r="L75" s="23" t="str">
        <f>"80,0"</f>
        <v>80,0</v>
      </c>
      <c r="M75" s="23" t="str">
        <f>"62,0480"</f>
        <v>62,0480</v>
      </c>
      <c r="N75" s="27" t="s">
        <v>37</v>
      </c>
    </row>
    <row r="76" spans="1:14" ht="12.75">
      <c r="A76" s="23" t="s">
        <v>24</v>
      </c>
      <c r="B76" s="20" t="s">
        <v>659</v>
      </c>
      <c r="C76" s="20" t="s">
        <v>660</v>
      </c>
      <c r="D76" s="20" t="s">
        <v>79</v>
      </c>
      <c r="E76" s="20" t="str">
        <f>"0,7922"</f>
        <v>0,7922</v>
      </c>
      <c r="F76" s="20" t="s">
        <v>15</v>
      </c>
      <c r="G76" s="20" t="s">
        <v>16</v>
      </c>
      <c r="H76" s="22" t="s">
        <v>61</v>
      </c>
      <c r="I76" s="21" t="s">
        <v>61</v>
      </c>
      <c r="J76" s="22" t="s">
        <v>63</v>
      </c>
      <c r="K76" s="23"/>
      <c r="L76" s="23" t="str">
        <f>"100,0"</f>
        <v>100,0</v>
      </c>
      <c r="M76" s="23" t="str">
        <f>"79,2200"</f>
        <v>79,2200</v>
      </c>
      <c r="N76" s="27" t="s">
        <v>37</v>
      </c>
    </row>
    <row r="77" spans="1:14" ht="12.75">
      <c r="A77" s="23" t="s">
        <v>24</v>
      </c>
      <c r="B77" s="20" t="s">
        <v>661</v>
      </c>
      <c r="C77" s="20" t="s">
        <v>190</v>
      </c>
      <c r="D77" s="20" t="s">
        <v>662</v>
      </c>
      <c r="E77" s="20" t="str">
        <f>"0,7775"</f>
        <v>0,7775</v>
      </c>
      <c r="F77" s="27" t="s">
        <v>270</v>
      </c>
      <c r="G77" s="20" t="s">
        <v>271</v>
      </c>
      <c r="H77" s="22" t="s">
        <v>61</v>
      </c>
      <c r="I77" s="21" t="s">
        <v>84</v>
      </c>
      <c r="J77" s="21" t="s">
        <v>64</v>
      </c>
      <c r="K77" s="23"/>
      <c r="L77" s="23" t="str">
        <f>"120,0"</f>
        <v>120,0</v>
      </c>
      <c r="M77" s="23" t="str">
        <f>"93,3000"</f>
        <v>93,3000</v>
      </c>
      <c r="N77" s="27" t="s">
        <v>37</v>
      </c>
    </row>
    <row r="78" spans="1:14" ht="12.75">
      <c r="A78" s="23" t="s">
        <v>38</v>
      </c>
      <c r="B78" s="20" t="s">
        <v>663</v>
      </c>
      <c r="C78" s="20" t="s">
        <v>664</v>
      </c>
      <c r="D78" s="20" t="s">
        <v>662</v>
      </c>
      <c r="E78" s="20" t="str">
        <f>"0,7775"</f>
        <v>0,7775</v>
      </c>
      <c r="F78" s="20" t="s">
        <v>15</v>
      </c>
      <c r="G78" s="20" t="s">
        <v>182</v>
      </c>
      <c r="H78" s="21" t="s">
        <v>63</v>
      </c>
      <c r="I78" s="22" t="s">
        <v>84</v>
      </c>
      <c r="J78" s="21" t="s">
        <v>84</v>
      </c>
      <c r="K78" s="23"/>
      <c r="L78" s="23" t="str">
        <f>"112,5"</f>
        <v>112,5</v>
      </c>
      <c r="M78" s="23" t="str">
        <f>"87,4687"</f>
        <v>87,4687</v>
      </c>
      <c r="N78" s="27" t="s">
        <v>37</v>
      </c>
    </row>
    <row r="79" spans="1:14" ht="12.75">
      <c r="A79" s="23" t="s">
        <v>72</v>
      </c>
      <c r="B79" s="20" t="s">
        <v>665</v>
      </c>
      <c r="C79" s="20" t="s">
        <v>666</v>
      </c>
      <c r="D79" s="20" t="s">
        <v>667</v>
      </c>
      <c r="E79" s="20" t="str">
        <f>"0,7973"</f>
        <v>0,7973</v>
      </c>
      <c r="F79" s="20" t="s">
        <v>15</v>
      </c>
      <c r="G79" s="20" t="s">
        <v>295</v>
      </c>
      <c r="H79" s="21" t="s">
        <v>61</v>
      </c>
      <c r="I79" s="21" t="s">
        <v>33</v>
      </c>
      <c r="J79" s="22" t="s">
        <v>34</v>
      </c>
      <c r="K79" s="23"/>
      <c r="L79" s="23" t="str">
        <f>"110,0"</f>
        <v>110,0</v>
      </c>
      <c r="M79" s="23" t="str">
        <f>"87,7030"</f>
        <v>87,7030</v>
      </c>
      <c r="N79" s="27" t="s">
        <v>668</v>
      </c>
    </row>
    <row r="80" spans="1:14" ht="12.75">
      <c r="A80" s="18" t="s">
        <v>74</v>
      </c>
      <c r="B80" s="16" t="s">
        <v>669</v>
      </c>
      <c r="C80" s="16" t="s">
        <v>670</v>
      </c>
      <c r="D80" s="16" t="s">
        <v>343</v>
      </c>
      <c r="E80" s="16" t="str">
        <f>"0,7901"</f>
        <v>0,7901</v>
      </c>
      <c r="F80" s="16" t="s">
        <v>15</v>
      </c>
      <c r="G80" s="28" t="s">
        <v>671</v>
      </c>
      <c r="H80" s="17" t="s">
        <v>33</v>
      </c>
      <c r="I80" s="19" t="s">
        <v>84</v>
      </c>
      <c r="J80" s="19" t="s">
        <v>84</v>
      </c>
      <c r="K80" s="18"/>
      <c r="L80" s="18" t="str">
        <f>"110,0"</f>
        <v>110,0</v>
      </c>
      <c r="M80" s="18" t="str">
        <f>"86,9110"</f>
        <v>86,9110</v>
      </c>
      <c r="N80" s="28" t="s">
        <v>672</v>
      </c>
    </row>
    <row r="81" ht="12.75">
      <c r="B81" s="6" t="s">
        <v>31</v>
      </c>
    </row>
    <row r="82" spans="1:13" ht="15">
      <c r="A82" s="43" t="s">
        <v>89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4" ht="12.75">
      <c r="A83" s="15" t="s">
        <v>24</v>
      </c>
      <c r="B83" s="12" t="s">
        <v>673</v>
      </c>
      <c r="C83" s="12" t="s">
        <v>674</v>
      </c>
      <c r="D83" s="12" t="s">
        <v>348</v>
      </c>
      <c r="E83" s="12" t="str">
        <f>"0,7193"</f>
        <v>0,7193</v>
      </c>
      <c r="F83" s="12" t="s">
        <v>15</v>
      </c>
      <c r="G83" s="12" t="s">
        <v>16</v>
      </c>
      <c r="H83" s="14" t="s">
        <v>34</v>
      </c>
      <c r="I83" s="13" t="s">
        <v>34</v>
      </c>
      <c r="J83" s="14" t="s">
        <v>675</v>
      </c>
      <c r="K83" s="15"/>
      <c r="L83" s="15" t="str">
        <f>"115,0"</f>
        <v>115,0</v>
      </c>
      <c r="M83" s="15" t="str">
        <f>"82,7195"</f>
        <v>82,7195</v>
      </c>
      <c r="N83" s="26" t="s">
        <v>676</v>
      </c>
    </row>
    <row r="84" spans="1:14" ht="12.75">
      <c r="A84" s="23" t="s">
        <v>38</v>
      </c>
      <c r="B84" s="20" t="s">
        <v>677</v>
      </c>
      <c r="C84" s="20" t="s">
        <v>678</v>
      </c>
      <c r="D84" s="20" t="s">
        <v>679</v>
      </c>
      <c r="E84" s="20" t="str">
        <f>"0,7200"</f>
        <v>0,7200</v>
      </c>
      <c r="F84" s="20" t="s">
        <v>15</v>
      </c>
      <c r="G84" s="20" t="s">
        <v>16</v>
      </c>
      <c r="H84" s="21" t="s">
        <v>19</v>
      </c>
      <c r="I84" s="22" t="s">
        <v>61</v>
      </c>
      <c r="J84" s="22" t="s">
        <v>61</v>
      </c>
      <c r="K84" s="23"/>
      <c r="L84" s="23" t="str">
        <f>"95,0"</f>
        <v>95,0</v>
      </c>
      <c r="M84" s="23" t="str">
        <f>"68,4000"</f>
        <v>68,4000</v>
      </c>
      <c r="N84" s="27" t="s">
        <v>37</v>
      </c>
    </row>
    <row r="85" spans="1:14" ht="12.75">
      <c r="A85" s="23" t="s">
        <v>24</v>
      </c>
      <c r="B85" s="20" t="s">
        <v>680</v>
      </c>
      <c r="C85" s="20" t="s">
        <v>681</v>
      </c>
      <c r="D85" s="20" t="s">
        <v>143</v>
      </c>
      <c r="E85" s="20" t="str">
        <f>"0,7383"</f>
        <v>0,7383</v>
      </c>
      <c r="F85" s="20" t="s">
        <v>15</v>
      </c>
      <c r="G85" s="20" t="s">
        <v>682</v>
      </c>
      <c r="H85" s="21" t="s">
        <v>57</v>
      </c>
      <c r="I85" s="21" t="s">
        <v>58</v>
      </c>
      <c r="J85" s="21" t="s">
        <v>69</v>
      </c>
      <c r="K85" s="23"/>
      <c r="L85" s="23" t="str">
        <f>"142,5"</f>
        <v>142,5</v>
      </c>
      <c r="M85" s="23" t="str">
        <f>"105,2078"</f>
        <v>105,2078</v>
      </c>
      <c r="N85" s="27" t="s">
        <v>683</v>
      </c>
    </row>
    <row r="86" spans="1:14" ht="12.75">
      <c r="A86" s="23" t="s">
        <v>38</v>
      </c>
      <c r="B86" s="20" t="s">
        <v>684</v>
      </c>
      <c r="C86" s="20" t="s">
        <v>685</v>
      </c>
      <c r="D86" s="20" t="s">
        <v>114</v>
      </c>
      <c r="E86" s="20" t="str">
        <f>"0,7139"</f>
        <v>0,7139</v>
      </c>
      <c r="F86" s="20" t="s">
        <v>15</v>
      </c>
      <c r="G86" s="20" t="s">
        <v>16</v>
      </c>
      <c r="H86" s="22" t="s">
        <v>57</v>
      </c>
      <c r="I86" s="21" t="s">
        <v>57</v>
      </c>
      <c r="J86" s="21" t="s">
        <v>68</v>
      </c>
      <c r="K86" s="23"/>
      <c r="L86" s="23" t="str">
        <f>"135,0"</f>
        <v>135,0</v>
      </c>
      <c r="M86" s="23" t="str">
        <f>"96,3765"</f>
        <v>96,3765</v>
      </c>
      <c r="N86" s="27" t="s">
        <v>37</v>
      </c>
    </row>
    <row r="87" spans="1:14" ht="12.75">
      <c r="A87" s="23" t="s">
        <v>72</v>
      </c>
      <c r="B87" s="20" t="s">
        <v>686</v>
      </c>
      <c r="C87" s="20" t="s">
        <v>687</v>
      </c>
      <c r="D87" s="20" t="s">
        <v>107</v>
      </c>
      <c r="E87" s="20" t="str">
        <f>"0,7126"</f>
        <v>0,7126</v>
      </c>
      <c r="F87" s="20" t="s">
        <v>15</v>
      </c>
      <c r="G87" s="20" t="s">
        <v>16</v>
      </c>
      <c r="H87" s="21" t="s">
        <v>33</v>
      </c>
      <c r="I87" s="21" t="s">
        <v>64</v>
      </c>
      <c r="J87" s="22" t="s">
        <v>82</v>
      </c>
      <c r="K87" s="23"/>
      <c r="L87" s="23" t="str">
        <f>"120,0"</f>
        <v>120,0</v>
      </c>
      <c r="M87" s="23" t="str">
        <f>"85,5120"</f>
        <v>85,5120</v>
      </c>
      <c r="N87" s="27" t="s">
        <v>688</v>
      </c>
    </row>
    <row r="88" spans="1:14" ht="12.75">
      <c r="A88" s="23" t="s">
        <v>24</v>
      </c>
      <c r="B88" s="20" t="s">
        <v>689</v>
      </c>
      <c r="C88" s="20" t="s">
        <v>690</v>
      </c>
      <c r="D88" s="20" t="s">
        <v>114</v>
      </c>
      <c r="E88" s="20" t="str">
        <f>"0,7139"</f>
        <v>0,7139</v>
      </c>
      <c r="F88" s="20" t="s">
        <v>15</v>
      </c>
      <c r="G88" s="20" t="s">
        <v>691</v>
      </c>
      <c r="H88" s="21" t="s">
        <v>80</v>
      </c>
      <c r="I88" s="21" t="s">
        <v>92</v>
      </c>
      <c r="J88" s="22" t="s">
        <v>104</v>
      </c>
      <c r="K88" s="23"/>
      <c r="L88" s="23" t="str">
        <f>"155,0"</f>
        <v>155,0</v>
      </c>
      <c r="M88" s="23" t="str">
        <f>"110,6545"</f>
        <v>110,6545</v>
      </c>
      <c r="N88" s="27" t="s">
        <v>37</v>
      </c>
    </row>
    <row r="89" spans="1:14" ht="12.75">
      <c r="A89" s="23" t="s">
        <v>38</v>
      </c>
      <c r="B89" s="20" t="s">
        <v>692</v>
      </c>
      <c r="C89" s="20" t="s">
        <v>693</v>
      </c>
      <c r="D89" s="20" t="s">
        <v>448</v>
      </c>
      <c r="E89" s="20" t="str">
        <f>"0,7132"</f>
        <v>0,7132</v>
      </c>
      <c r="F89" s="20" t="s">
        <v>15</v>
      </c>
      <c r="G89" s="27" t="s">
        <v>694</v>
      </c>
      <c r="H89" s="21" t="s">
        <v>68</v>
      </c>
      <c r="I89" s="21" t="s">
        <v>59</v>
      </c>
      <c r="J89" s="21" t="s">
        <v>80</v>
      </c>
      <c r="K89" s="23"/>
      <c r="L89" s="23" t="str">
        <f>"150,0"</f>
        <v>150,0</v>
      </c>
      <c r="M89" s="23" t="str">
        <f>"106,9800"</f>
        <v>106,9800</v>
      </c>
      <c r="N89" s="27" t="s">
        <v>37</v>
      </c>
    </row>
    <row r="90" spans="1:14" ht="12.75">
      <c r="A90" s="23" t="s">
        <v>72</v>
      </c>
      <c r="B90" s="20" t="s">
        <v>695</v>
      </c>
      <c r="C90" s="20" t="s">
        <v>696</v>
      </c>
      <c r="D90" s="20" t="s">
        <v>697</v>
      </c>
      <c r="E90" s="20" t="str">
        <f>"0,7278"</f>
        <v>0,7278</v>
      </c>
      <c r="F90" s="27" t="s">
        <v>233</v>
      </c>
      <c r="G90" s="20" t="s">
        <v>234</v>
      </c>
      <c r="H90" s="22" t="s">
        <v>253</v>
      </c>
      <c r="I90" s="21" t="s">
        <v>253</v>
      </c>
      <c r="J90" s="22" t="s">
        <v>80</v>
      </c>
      <c r="K90" s="23"/>
      <c r="L90" s="23" t="str">
        <f>"147,5"</f>
        <v>147,5</v>
      </c>
      <c r="M90" s="23" t="str">
        <f>"107,3505"</f>
        <v>107,3505</v>
      </c>
      <c r="N90" s="27" t="s">
        <v>698</v>
      </c>
    </row>
    <row r="91" spans="1:14" ht="12.75">
      <c r="A91" s="23" t="s">
        <v>74</v>
      </c>
      <c r="B91" s="20" t="s">
        <v>699</v>
      </c>
      <c r="C91" s="20" t="s">
        <v>700</v>
      </c>
      <c r="D91" s="20" t="s">
        <v>337</v>
      </c>
      <c r="E91" s="20" t="str">
        <f>"0,7228"</f>
        <v>0,7228</v>
      </c>
      <c r="F91" s="27" t="s">
        <v>233</v>
      </c>
      <c r="G91" s="20" t="s">
        <v>234</v>
      </c>
      <c r="H91" s="22" t="s">
        <v>57</v>
      </c>
      <c r="I91" s="21" t="s">
        <v>58</v>
      </c>
      <c r="J91" s="22" t="s">
        <v>92</v>
      </c>
      <c r="K91" s="23"/>
      <c r="L91" s="23" t="str">
        <f>"140,0"</f>
        <v>140,0</v>
      </c>
      <c r="M91" s="23" t="str">
        <f>"101,1920"</f>
        <v>101,1920</v>
      </c>
      <c r="N91" s="27" t="s">
        <v>341</v>
      </c>
    </row>
    <row r="92" spans="1:14" ht="12.75">
      <c r="A92" s="23" t="s">
        <v>85</v>
      </c>
      <c r="B92" s="20" t="s">
        <v>701</v>
      </c>
      <c r="C92" s="20" t="s">
        <v>702</v>
      </c>
      <c r="D92" s="20" t="s">
        <v>90</v>
      </c>
      <c r="E92" s="20" t="str">
        <f>"0,7271"</f>
        <v>0,7271</v>
      </c>
      <c r="F92" s="20" t="s">
        <v>15</v>
      </c>
      <c r="G92" s="20" t="s">
        <v>16</v>
      </c>
      <c r="H92" s="21" t="s">
        <v>68</v>
      </c>
      <c r="I92" s="22" t="s">
        <v>58</v>
      </c>
      <c r="J92" s="22" t="s">
        <v>58</v>
      </c>
      <c r="K92" s="23"/>
      <c r="L92" s="23" t="str">
        <f>"135,0"</f>
        <v>135,0</v>
      </c>
      <c r="M92" s="23" t="str">
        <f>"98,1585"</f>
        <v>98,1585</v>
      </c>
      <c r="N92" s="27" t="s">
        <v>37</v>
      </c>
    </row>
    <row r="93" spans="1:14" ht="12.75">
      <c r="A93" s="23" t="s">
        <v>136</v>
      </c>
      <c r="B93" s="20" t="s">
        <v>703</v>
      </c>
      <c r="C93" s="20" t="s">
        <v>704</v>
      </c>
      <c r="D93" s="20" t="s">
        <v>348</v>
      </c>
      <c r="E93" s="20" t="str">
        <f>"0,7193"</f>
        <v>0,7193</v>
      </c>
      <c r="F93" s="20" t="s">
        <v>15</v>
      </c>
      <c r="G93" s="20" t="s">
        <v>16</v>
      </c>
      <c r="H93" s="21" t="s">
        <v>22</v>
      </c>
      <c r="I93" s="22" t="s">
        <v>36</v>
      </c>
      <c r="J93" s="22" t="s">
        <v>36</v>
      </c>
      <c r="K93" s="23"/>
      <c r="L93" s="23" t="str">
        <f>"105,0"</f>
        <v>105,0</v>
      </c>
      <c r="M93" s="23" t="str">
        <f>"75,5265"</f>
        <v>75,5265</v>
      </c>
      <c r="N93" s="27" t="s">
        <v>37</v>
      </c>
    </row>
    <row r="94" spans="1:14" ht="12.75">
      <c r="A94" s="23" t="s">
        <v>13</v>
      </c>
      <c r="B94" s="20" t="s">
        <v>705</v>
      </c>
      <c r="C94" s="20" t="s">
        <v>706</v>
      </c>
      <c r="D94" s="20" t="s">
        <v>707</v>
      </c>
      <c r="E94" s="20" t="str">
        <f>"0,7337"</f>
        <v>0,7337</v>
      </c>
      <c r="F94" s="20" t="s">
        <v>15</v>
      </c>
      <c r="G94" s="20" t="s">
        <v>182</v>
      </c>
      <c r="H94" s="22" t="s">
        <v>82</v>
      </c>
      <c r="I94" s="22" t="s">
        <v>57</v>
      </c>
      <c r="J94" s="22" t="s">
        <v>68</v>
      </c>
      <c r="K94" s="23"/>
      <c r="L94" s="23" t="s">
        <v>23</v>
      </c>
      <c r="M94" s="23" t="str">
        <f>"0,0000"</f>
        <v>0,0000</v>
      </c>
      <c r="N94" s="27" t="s">
        <v>37</v>
      </c>
    </row>
    <row r="95" spans="1:14" ht="12.75">
      <c r="A95" s="23" t="s">
        <v>24</v>
      </c>
      <c r="B95" s="20" t="s">
        <v>708</v>
      </c>
      <c r="C95" s="20" t="s">
        <v>709</v>
      </c>
      <c r="D95" s="20" t="s">
        <v>106</v>
      </c>
      <c r="E95" s="20" t="str">
        <f>"0,7256"</f>
        <v>0,7256</v>
      </c>
      <c r="F95" s="20" t="s">
        <v>270</v>
      </c>
      <c r="G95" s="20" t="s">
        <v>271</v>
      </c>
      <c r="H95" s="22" t="s">
        <v>58</v>
      </c>
      <c r="I95" s="21" t="s">
        <v>80</v>
      </c>
      <c r="J95" s="22" t="s">
        <v>104</v>
      </c>
      <c r="K95" s="23"/>
      <c r="L95" s="23" t="str">
        <f>"150,0"</f>
        <v>150,0</v>
      </c>
      <c r="M95" s="23" t="str">
        <f>"108,8400"</f>
        <v>108,8400</v>
      </c>
      <c r="N95" s="27" t="s">
        <v>37</v>
      </c>
    </row>
    <row r="96" spans="1:14" ht="12.75">
      <c r="A96" s="23" t="s">
        <v>38</v>
      </c>
      <c r="B96" s="20" t="s">
        <v>710</v>
      </c>
      <c r="C96" s="20" t="s">
        <v>711</v>
      </c>
      <c r="D96" s="20" t="s">
        <v>348</v>
      </c>
      <c r="E96" s="20" t="str">
        <f>"0,7193"</f>
        <v>0,7193</v>
      </c>
      <c r="F96" s="20" t="s">
        <v>15</v>
      </c>
      <c r="G96" s="20" t="s">
        <v>712</v>
      </c>
      <c r="H96" s="21" t="s">
        <v>80</v>
      </c>
      <c r="I96" s="22" t="s">
        <v>147</v>
      </c>
      <c r="J96" s="22" t="s">
        <v>147</v>
      </c>
      <c r="K96" s="23"/>
      <c r="L96" s="23" t="str">
        <f>"150,0"</f>
        <v>150,0</v>
      </c>
      <c r="M96" s="23" t="str">
        <f>"107,8950"</f>
        <v>107,8950</v>
      </c>
      <c r="N96" s="27" t="s">
        <v>37</v>
      </c>
    </row>
    <row r="97" spans="1:14" ht="12.75">
      <c r="A97" s="23" t="s">
        <v>72</v>
      </c>
      <c r="B97" s="20" t="s">
        <v>713</v>
      </c>
      <c r="C97" s="20" t="s">
        <v>714</v>
      </c>
      <c r="D97" s="20" t="s">
        <v>337</v>
      </c>
      <c r="E97" s="20" t="str">
        <f>"0,7228"</f>
        <v>0,7228</v>
      </c>
      <c r="F97" s="20" t="s">
        <v>15</v>
      </c>
      <c r="G97" s="20" t="s">
        <v>715</v>
      </c>
      <c r="H97" s="21" t="s">
        <v>58</v>
      </c>
      <c r="I97" s="21" t="s">
        <v>59</v>
      </c>
      <c r="J97" s="22" t="s">
        <v>253</v>
      </c>
      <c r="K97" s="23"/>
      <c r="L97" s="23" t="str">
        <f>"145,0"</f>
        <v>145,0</v>
      </c>
      <c r="M97" s="23" t="str">
        <f>"104,8060"</f>
        <v>104,8060</v>
      </c>
      <c r="N97" s="27" t="s">
        <v>37</v>
      </c>
    </row>
    <row r="98" spans="1:14" ht="12.75">
      <c r="A98" s="23" t="s">
        <v>74</v>
      </c>
      <c r="B98" s="20" t="s">
        <v>446</v>
      </c>
      <c r="C98" s="20" t="s">
        <v>447</v>
      </c>
      <c r="D98" s="20" t="s">
        <v>448</v>
      </c>
      <c r="E98" s="20" t="str">
        <f>"0,7132"</f>
        <v>0,7132</v>
      </c>
      <c r="F98" s="20" t="s">
        <v>15</v>
      </c>
      <c r="G98" s="20" t="s">
        <v>16</v>
      </c>
      <c r="H98" s="21" t="s">
        <v>68</v>
      </c>
      <c r="I98" s="21" t="s">
        <v>58</v>
      </c>
      <c r="J98" s="21" t="s">
        <v>59</v>
      </c>
      <c r="K98" s="23"/>
      <c r="L98" s="23" t="str">
        <f>"145,0"</f>
        <v>145,0</v>
      </c>
      <c r="M98" s="23" t="str">
        <f>"103,4140"</f>
        <v>103,4140</v>
      </c>
      <c r="N98" s="27" t="s">
        <v>449</v>
      </c>
    </row>
    <row r="99" spans="1:14" ht="12.75">
      <c r="A99" s="23" t="s">
        <v>85</v>
      </c>
      <c r="B99" s="20" t="s">
        <v>716</v>
      </c>
      <c r="C99" s="20" t="s">
        <v>717</v>
      </c>
      <c r="D99" s="20" t="s">
        <v>718</v>
      </c>
      <c r="E99" s="20" t="str">
        <f>"0,7214"</f>
        <v>0,7214</v>
      </c>
      <c r="F99" s="20" t="s">
        <v>15</v>
      </c>
      <c r="G99" s="20" t="s">
        <v>719</v>
      </c>
      <c r="H99" s="22" t="s">
        <v>69</v>
      </c>
      <c r="I99" s="21" t="s">
        <v>69</v>
      </c>
      <c r="J99" s="22" t="s">
        <v>253</v>
      </c>
      <c r="K99" s="23"/>
      <c r="L99" s="23" t="str">
        <f>"142,5"</f>
        <v>142,5</v>
      </c>
      <c r="M99" s="23" t="str">
        <f>"102,7995"</f>
        <v>102,7995</v>
      </c>
      <c r="N99" s="27" t="s">
        <v>37</v>
      </c>
    </row>
    <row r="100" spans="1:14" ht="12.75">
      <c r="A100" s="23" t="s">
        <v>136</v>
      </c>
      <c r="B100" s="20" t="s">
        <v>720</v>
      </c>
      <c r="C100" s="20" t="s">
        <v>721</v>
      </c>
      <c r="D100" s="20" t="s">
        <v>90</v>
      </c>
      <c r="E100" s="20" t="str">
        <f>"0,7271"</f>
        <v>0,7271</v>
      </c>
      <c r="F100" s="20" t="s">
        <v>15</v>
      </c>
      <c r="G100" s="20" t="s">
        <v>722</v>
      </c>
      <c r="H100" s="21" t="s">
        <v>68</v>
      </c>
      <c r="I100" s="21" t="s">
        <v>58</v>
      </c>
      <c r="J100" s="22" t="s">
        <v>69</v>
      </c>
      <c r="K100" s="23"/>
      <c r="L100" s="23" t="str">
        <f>"140,0"</f>
        <v>140,0</v>
      </c>
      <c r="M100" s="23" t="str">
        <f>"101,7940"</f>
        <v>101,7940</v>
      </c>
      <c r="N100" s="27" t="s">
        <v>37</v>
      </c>
    </row>
    <row r="101" spans="1:14" ht="12.75">
      <c r="A101" s="23" t="s">
        <v>139</v>
      </c>
      <c r="B101" s="20" t="s">
        <v>723</v>
      </c>
      <c r="C101" s="20" t="s">
        <v>724</v>
      </c>
      <c r="D101" s="20" t="s">
        <v>725</v>
      </c>
      <c r="E101" s="20" t="str">
        <f>"0,7207"</f>
        <v>0,7207</v>
      </c>
      <c r="F101" s="20" t="s">
        <v>15</v>
      </c>
      <c r="G101" s="27" t="s">
        <v>726</v>
      </c>
      <c r="H101" s="21" t="s">
        <v>82</v>
      </c>
      <c r="I101" s="21" t="s">
        <v>68</v>
      </c>
      <c r="J101" s="22" t="s">
        <v>92</v>
      </c>
      <c r="K101" s="23"/>
      <c r="L101" s="23" t="str">
        <f>"135,0"</f>
        <v>135,0</v>
      </c>
      <c r="M101" s="23" t="str">
        <f>"97,2945"</f>
        <v>97,2945</v>
      </c>
      <c r="N101" s="27" t="s">
        <v>37</v>
      </c>
    </row>
    <row r="102" spans="1:14" ht="12.75">
      <c r="A102" s="23" t="s">
        <v>142</v>
      </c>
      <c r="B102" s="20" t="s">
        <v>727</v>
      </c>
      <c r="C102" s="20" t="s">
        <v>728</v>
      </c>
      <c r="D102" s="20" t="s">
        <v>107</v>
      </c>
      <c r="E102" s="20" t="str">
        <f>"0,7126"</f>
        <v>0,7126</v>
      </c>
      <c r="F102" s="20" t="s">
        <v>15</v>
      </c>
      <c r="G102" s="27" t="s">
        <v>366</v>
      </c>
      <c r="H102" s="21" t="s">
        <v>57</v>
      </c>
      <c r="I102" s="21" t="s">
        <v>68</v>
      </c>
      <c r="J102" s="22" t="s">
        <v>58</v>
      </c>
      <c r="K102" s="23"/>
      <c r="L102" s="23" t="str">
        <f>"135,0"</f>
        <v>135,0</v>
      </c>
      <c r="M102" s="23" t="str">
        <f>"96,2010"</f>
        <v>96,2010</v>
      </c>
      <c r="N102" s="27" t="s">
        <v>37</v>
      </c>
    </row>
    <row r="103" spans="1:14" ht="12.75">
      <c r="A103" s="23" t="s">
        <v>427</v>
      </c>
      <c r="B103" s="20" t="s">
        <v>729</v>
      </c>
      <c r="C103" s="20" t="s">
        <v>730</v>
      </c>
      <c r="D103" s="20" t="s">
        <v>450</v>
      </c>
      <c r="E103" s="20" t="str">
        <f>"0,7249"</f>
        <v>0,7249</v>
      </c>
      <c r="F103" s="20" t="s">
        <v>15</v>
      </c>
      <c r="G103" s="20" t="s">
        <v>54</v>
      </c>
      <c r="H103" s="21" t="s">
        <v>57</v>
      </c>
      <c r="I103" s="22" t="s">
        <v>68</v>
      </c>
      <c r="J103" s="22" t="s">
        <v>68</v>
      </c>
      <c r="K103" s="23"/>
      <c r="L103" s="23" t="str">
        <f>"130,0"</f>
        <v>130,0</v>
      </c>
      <c r="M103" s="23" t="str">
        <f>"94,2370"</f>
        <v>94,2370</v>
      </c>
      <c r="N103" s="27" t="s">
        <v>37</v>
      </c>
    </row>
    <row r="104" spans="1:14" ht="12.75">
      <c r="A104" s="23" t="s">
        <v>731</v>
      </c>
      <c r="B104" s="20" t="s">
        <v>732</v>
      </c>
      <c r="C104" s="20" t="s">
        <v>733</v>
      </c>
      <c r="D104" s="20" t="s">
        <v>114</v>
      </c>
      <c r="E104" s="20" t="str">
        <f>"0,7139"</f>
        <v>0,7139</v>
      </c>
      <c r="F104" s="20" t="s">
        <v>15</v>
      </c>
      <c r="G104" s="20" t="s">
        <v>734</v>
      </c>
      <c r="H104" s="22" t="s">
        <v>36</v>
      </c>
      <c r="I104" s="21" t="s">
        <v>36</v>
      </c>
      <c r="J104" s="21" t="s">
        <v>82</v>
      </c>
      <c r="K104" s="23"/>
      <c r="L104" s="23" t="str">
        <f>"125,0"</f>
        <v>125,0</v>
      </c>
      <c r="M104" s="23" t="str">
        <f>"89,2375"</f>
        <v>89,2375</v>
      </c>
      <c r="N104" s="27" t="s">
        <v>735</v>
      </c>
    </row>
    <row r="105" spans="1:14" ht="12.75">
      <c r="A105" s="23" t="s">
        <v>736</v>
      </c>
      <c r="B105" s="20" t="s">
        <v>737</v>
      </c>
      <c r="C105" s="20" t="s">
        <v>738</v>
      </c>
      <c r="D105" s="20" t="s">
        <v>739</v>
      </c>
      <c r="E105" s="20" t="str">
        <f>"0,7586"</f>
        <v>0,7586</v>
      </c>
      <c r="F105" s="20" t="s">
        <v>15</v>
      </c>
      <c r="G105" s="20" t="s">
        <v>54</v>
      </c>
      <c r="H105" s="22" t="s">
        <v>64</v>
      </c>
      <c r="I105" s="21" t="s">
        <v>64</v>
      </c>
      <c r="J105" s="22" t="s">
        <v>134</v>
      </c>
      <c r="K105" s="23"/>
      <c r="L105" s="23" t="str">
        <f>"120,0"</f>
        <v>120,0</v>
      </c>
      <c r="M105" s="23" t="str">
        <f>"91,0320"</f>
        <v>91,0320</v>
      </c>
      <c r="N105" s="27" t="s">
        <v>740</v>
      </c>
    </row>
    <row r="106" spans="1:14" ht="12.75">
      <c r="A106" s="23" t="s">
        <v>741</v>
      </c>
      <c r="B106" s="20" t="s">
        <v>742</v>
      </c>
      <c r="C106" s="20" t="s">
        <v>743</v>
      </c>
      <c r="D106" s="20" t="s">
        <v>402</v>
      </c>
      <c r="E106" s="20" t="str">
        <f>"0,7264"</f>
        <v>0,7264</v>
      </c>
      <c r="F106" s="20" t="s">
        <v>15</v>
      </c>
      <c r="G106" s="20" t="s">
        <v>16</v>
      </c>
      <c r="H106" s="21" t="s">
        <v>34</v>
      </c>
      <c r="I106" s="21" t="s">
        <v>64</v>
      </c>
      <c r="J106" s="22" t="s">
        <v>134</v>
      </c>
      <c r="K106" s="23"/>
      <c r="L106" s="23" t="str">
        <f>"120,0"</f>
        <v>120,0</v>
      </c>
      <c r="M106" s="23" t="str">
        <f>"87,1680"</f>
        <v>87,1680</v>
      </c>
      <c r="N106" s="27" t="s">
        <v>37</v>
      </c>
    </row>
    <row r="107" spans="1:14" ht="12.75">
      <c r="A107" s="23" t="s">
        <v>744</v>
      </c>
      <c r="B107" s="20" t="s">
        <v>745</v>
      </c>
      <c r="C107" s="20" t="s">
        <v>386</v>
      </c>
      <c r="D107" s="20" t="s">
        <v>746</v>
      </c>
      <c r="E107" s="20" t="str">
        <f>"0,7146"</f>
        <v>0,7146</v>
      </c>
      <c r="F107" s="20" t="s">
        <v>15</v>
      </c>
      <c r="G107" s="20" t="s">
        <v>345</v>
      </c>
      <c r="H107" s="22" t="s">
        <v>64</v>
      </c>
      <c r="I107" s="21" t="s">
        <v>64</v>
      </c>
      <c r="J107" s="22" t="s">
        <v>57</v>
      </c>
      <c r="K107" s="23"/>
      <c r="L107" s="23" t="str">
        <f>"120,0"</f>
        <v>120,0</v>
      </c>
      <c r="M107" s="23" t="str">
        <f>"85,7520"</f>
        <v>85,7520</v>
      </c>
      <c r="N107" s="27" t="s">
        <v>37</v>
      </c>
    </row>
    <row r="108" spans="1:14" ht="12.75">
      <c r="A108" s="23" t="s">
        <v>747</v>
      </c>
      <c r="B108" s="20" t="s">
        <v>748</v>
      </c>
      <c r="C108" s="20" t="s">
        <v>749</v>
      </c>
      <c r="D108" s="20" t="s">
        <v>402</v>
      </c>
      <c r="E108" s="20" t="str">
        <f>"0,7264"</f>
        <v>0,7264</v>
      </c>
      <c r="F108" s="20" t="s">
        <v>15</v>
      </c>
      <c r="G108" s="20" t="s">
        <v>25</v>
      </c>
      <c r="H108" s="21" t="s">
        <v>63</v>
      </c>
      <c r="I108" s="21" t="s">
        <v>84</v>
      </c>
      <c r="J108" s="21" t="s">
        <v>36</v>
      </c>
      <c r="K108" s="23"/>
      <c r="L108" s="23" t="str">
        <f>"117,5"</f>
        <v>117,5</v>
      </c>
      <c r="M108" s="23" t="str">
        <f>"85,3520"</f>
        <v>85,3520</v>
      </c>
      <c r="N108" s="27" t="s">
        <v>37</v>
      </c>
    </row>
    <row r="109" spans="1:14" ht="12.75">
      <c r="A109" s="23" t="s">
        <v>750</v>
      </c>
      <c r="B109" s="20" t="s">
        <v>751</v>
      </c>
      <c r="C109" s="20" t="s">
        <v>752</v>
      </c>
      <c r="D109" s="20" t="s">
        <v>697</v>
      </c>
      <c r="E109" s="20" t="str">
        <f>"0,7278"</f>
        <v>0,7278</v>
      </c>
      <c r="F109" s="20" t="s">
        <v>15</v>
      </c>
      <c r="G109" s="20" t="s">
        <v>16</v>
      </c>
      <c r="H109" s="21" t="s">
        <v>33</v>
      </c>
      <c r="I109" s="22" t="s">
        <v>36</v>
      </c>
      <c r="J109" s="22" t="s">
        <v>36</v>
      </c>
      <c r="K109" s="23"/>
      <c r="L109" s="23" t="str">
        <f>"110,0"</f>
        <v>110,0</v>
      </c>
      <c r="M109" s="23" t="str">
        <f>"80,0580"</f>
        <v>80,0580</v>
      </c>
      <c r="N109" s="27" t="s">
        <v>550</v>
      </c>
    </row>
    <row r="110" spans="1:14" ht="12.75">
      <c r="A110" s="23" t="s">
        <v>753</v>
      </c>
      <c r="B110" s="20" t="s">
        <v>754</v>
      </c>
      <c r="C110" s="20" t="s">
        <v>755</v>
      </c>
      <c r="D110" s="20" t="s">
        <v>697</v>
      </c>
      <c r="E110" s="20" t="str">
        <f>"0,7278"</f>
        <v>0,7278</v>
      </c>
      <c r="F110" s="20" t="s">
        <v>15</v>
      </c>
      <c r="G110" s="27" t="s">
        <v>366</v>
      </c>
      <c r="H110" s="21" t="s">
        <v>22</v>
      </c>
      <c r="I110" s="22" t="s">
        <v>33</v>
      </c>
      <c r="J110" s="22" t="s">
        <v>33</v>
      </c>
      <c r="K110" s="23"/>
      <c r="L110" s="23" t="str">
        <f>"105,0"</f>
        <v>105,0</v>
      </c>
      <c r="M110" s="23" t="str">
        <f>"76,4190"</f>
        <v>76,4190</v>
      </c>
      <c r="N110" s="27" t="s">
        <v>37</v>
      </c>
    </row>
    <row r="111" spans="1:14" ht="12.75">
      <c r="A111" s="23" t="s">
        <v>13</v>
      </c>
      <c r="B111" s="20" t="s">
        <v>756</v>
      </c>
      <c r="C111" s="20" t="s">
        <v>757</v>
      </c>
      <c r="D111" s="20" t="s">
        <v>679</v>
      </c>
      <c r="E111" s="20" t="str">
        <f>"0,7200"</f>
        <v>0,7200</v>
      </c>
      <c r="F111" s="20" t="s">
        <v>15</v>
      </c>
      <c r="G111" s="20" t="s">
        <v>289</v>
      </c>
      <c r="H111" s="22" t="s">
        <v>80</v>
      </c>
      <c r="I111" s="22" t="s">
        <v>80</v>
      </c>
      <c r="J111" s="22" t="s">
        <v>80</v>
      </c>
      <c r="K111" s="23"/>
      <c r="L111" s="23" t="s">
        <v>23</v>
      </c>
      <c r="M111" s="23" t="str">
        <f>"0,0000"</f>
        <v>0,0000</v>
      </c>
      <c r="N111" s="27" t="s">
        <v>37</v>
      </c>
    </row>
    <row r="112" spans="1:14" ht="12.75">
      <c r="A112" s="23" t="s">
        <v>24</v>
      </c>
      <c r="B112" s="20" t="s">
        <v>758</v>
      </c>
      <c r="C112" s="20" t="s">
        <v>759</v>
      </c>
      <c r="D112" s="20" t="s">
        <v>130</v>
      </c>
      <c r="E112" s="20" t="str">
        <f>"0,7186"</f>
        <v>0,7186</v>
      </c>
      <c r="F112" s="20" t="s">
        <v>15</v>
      </c>
      <c r="G112" s="20" t="s">
        <v>267</v>
      </c>
      <c r="H112" s="21" t="s">
        <v>92</v>
      </c>
      <c r="I112" s="21" t="s">
        <v>201</v>
      </c>
      <c r="J112" s="22" t="s">
        <v>104</v>
      </c>
      <c r="K112" s="23"/>
      <c r="L112" s="23" t="str">
        <f>"157,5"</f>
        <v>157,5</v>
      </c>
      <c r="M112" s="23" t="str">
        <f>"119,9703"</f>
        <v>119,9703</v>
      </c>
      <c r="N112" s="27" t="s">
        <v>37</v>
      </c>
    </row>
    <row r="113" spans="1:14" ht="12.75">
      <c r="A113" s="23" t="s">
        <v>38</v>
      </c>
      <c r="B113" s="20" t="s">
        <v>760</v>
      </c>
      <c r="C113" s="20" t="s">
        <v>761</v>
      </c>
      <c r="D113" s="20" t="s">
        <v>140</v>
      </c>
      <c r="E113" s="20" t="str">
        <f>"0,7173"</f>
        <v>0,7173</v>
      </c>
      <c r="F113" s="20" t="s">
        <v>15</v>
      </c>
      <c r="G113" s="20" t="s">
        <v>16</v>
      </c>
      <c r="H113" s="21" t="s">
        <v>33</v>
      </c>
      <c r="I113" s="22" t="s">
        <v>36</v>
      </c>
      <c r="J113" s="22" t="s">
        <v>36</v>
      </c>
      <c r="K113" s="23"/>
      <c r="L113" s="23" t="str">
        <f>"110,0"</f>
        <v>110,0</v>
      </c>
      <c r="M113" s="23" t="str">
        <f>"87,8979"</f>
        <v>87,8979</v>
      </c>
      <c r="N113" s="27" t="s">
        <v>37</v>
      </c>
    </row>
    <row r="114" spans="1:14" ht="12.75">
      <c r="A114" s="18" t="s">
        <v>24</v>
      </c>
      <c r="B114" s="16" t="s">
        <v>762</v>
      </c>
      <c r="C114" s="16" t="s">
        <v>763</v>
      </c>
      <c r="D114" s="16" t="s">
        <v>391</v>
      </c>
      <c r="E114" s="16" t="str">
        <f>"0,7159"</f>
        <v>0,7159</v>
      </c>
      <c r="F114" s="16" t="s">
        <v>270</v>
      </c>
      <c r="G114" s="16" t="s">
        <v>271</v>
      </c>
      <c r="H114" s="17" t="s">
        <v>34</v>
      </c>
      <c r="I114" s="17" t="s">
        <v>82</v>
      </c>
      <c r="J114" s="17" t="s">
        <v>57</v>
      </c>
      <c r="K114" s="18"/>
      <c r="L114" s="18" t="str">
        <f>"130,0"</f>
        <v>130,0</v>
      </c>
      <c r="M114" s="18" t="str">
        <f>"134,0165"</f>
        <v>134,0165</v>
      </c>
      <c r="N114" s="28" t="s">
        <v>37</v>
      </c>
    </row>
    <row r="115" ht="12.75">
      <c r="B115" s="6" t="s">
        <v>31</v>
      </c>
    </row>
    <row r="116" spans="1:13" ht="15">
      <c r="A116" s="43" t="s">
        <v>144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4" ht="12.75">
      <c r="A117" s="15" t="s">
        <v>24</v>
      </c>
      <c r="B117" s="12" t="s">
        <v>764</v>
      </c>
      <c r="C117" s="12" t="s">
        <v>765</v>
      </c>
      <c r="D117" s="12" t="s">
        <v>766</v>
      </c>
      <c r="E117" s="12" t="str">
        <f>"0,6759"</f>
        <v>0,6759</v>
      </c>
      <c r="F117" s="12" t="s">
        <v>374</v>
      </c>
      <c r="G117" s="12" t="s">
        <v>767</v>
      </c>
      <c r="H117" s="13" t="s">
        <v>64</v>
      </c>
      <c r="I117" s="13" t="s">
        <v>82</v>
      </c>
      <c r="J117" s="13" t="s">
        <v>57</v>
      </c>
      <c r="K117" s="15"/>
      <c r="L117" s="15" t="str">
        <f>"130,0"</f>
        <v>130,0</v>
      </c>
      <c r="M117" s="15" t="str">
        <f>"87,8670"</f>
        <v>87,8670</v>
      </c>
      <c r="N117" s="26" t="s">
        <v>768</v>
      </c>
    </row>
    <row r="118" spans="1:14" ht="12.75">
      <c r="A118" s="23" t="s">
        <v>24</v>
      </c>
      <c r="B118" s="20" t="s">
        <v>769</v>
      </c>
      <c r="C118" s="20" t="s">
        <v>770</v>
      </c>
      <c r="D118" s="20" t="s">
        <v>771</v>
      </c>
      <c r="E118" s="20" t="str">
        <f>"0,6806"</f>
        <v>0,6806</v>
      </c>
      <c r="F118" s="20" t="s">
        <v>15</v>
      </c>
      <c r="G118" s="27" t="s">
        <v>772</v>
      </c>
      <c r="H118" s="21" t="s">
        <v>58</v>
      </c>
      <c r="I118" s="21" t="s">
        <v>253</v>
      </c>
      <c r="J118" s="21" t="s">
        <v>147</v>
      </c>
      <c r="K118" s="23"/>
      <c r="L118" s="23" t="str">
        <f>"152,5"</f>
        <v>152,5</v>
      </c>
      <c r="M118" s="23" t="str">
        <f>"103,7915"</f>
        <v>103,7915</v>
      </c>
      <c r="N118" s="27" t="s">
        <v>773</v>
      </c>
    </row>
    <row r="119" spans="1:14" ht="12.75">
      <c r="A119" s="23" t="s">
        <v>38</v>
      </c>
      <c r="B119" s="20" t="s">
        <v>774</v>
      </c>
      <c r="C119" s="20" t="s">
        <v>775</v>
      </c>
      <c r="D119" s="20" t="s">
        <v>352</v>
      </c>
      <c r="E119" s="20" t="str">
        <f>"0,7048"</f>
        <v>0,7048</v>
      </c>
      <c r="F119" s="20" t="s">
        <v>15</v>
      </c>
      <c r="G119" s="20" t="s">
        <v>54</v>
      </c>
      <c r="H119" s="22" t="s">
        <v>59</v>
      </c>
      <c r="I119" s="21" t="s">
        <v>59</v>
      </c>
      <c r="J119" s="22" t="s">
        <v>92</v>
      </c>
      <c r="K119" s="23"/>
      <c r="L119" s="23" t="str">
        <f>"145,0"</f>
        <v>145,0</v>
      </c>
      <c r="M119" s="23" t="str">
        <f>"102,1960"</f>
        <v>102,1960</v>
      </c>
      <c r="N119" s="27" t="s">
        <v>37</v>
      </c>
    </row>
    <row r="120" spans="1:14" ht="12.75">
      <c r="A120" s="23" t="s">
        <v>72</v>
      </c>
      <c r="B120" s="20" t="s">
        <v>776</v>
      </c>
      <c r="C120" s="20" t="s">
        <v>777</v>
      </c>
      <c r="D120" s="20" t="s">
        <v>478</v>
      </c>
      <c r="E120" s="20" t="str">
        <f>"0,6854"</f>
        <v>0,6854</v>
      </c>
      <c r="F120" s="20" t="s">
        <v>15</v>
      </c>
      <c r="G120" s="27" t="s">
        <v>526</v>
      </c>
      <c r="H120" s="21" t="s">
        <v>33</v>
      </c>
      <c r="I120" s="22" t="s">
        <v>36</v>
      </c>
      <c r="J120" s="21" t="s">
        <v>134</v>
      </c>
      <c r="K120" s="23"/>
      <c r="L120" s="23" t="str">
        <f>"122,5"</f>
        <v>122,5</v>
      </c>
      <c r="M120" s="23" t="str">
        <f>"83,9615"</f>
        <v>83,9615</v>
      </c>
      <c r="N120" s="27" t="s">
        <v>778</v>
      </c>
    </row>
    <row r="121" spans="1:14" ht="12.75">
      <c r="A121" s="23" t="s">
        <v>24</v>
      </c>
      <c r="B121" s="20" t="s">
        <v>779</v>
      </c>
      <c r="C121" s="20" t="s">
        <v>780</v>
      </c>
      <c r="D121" s="20" t="s">
        <v>269</v>
      </c>
      <c r="E121" s="20" t="str">
        <f>"0,6729"</f>
        <v>0,6729</v>
      </c>
      <c r="F121" s="20" t="s">
        <v>15</v>
      </c>
      <c r="G121" s="20" t="s">
        <v>453</v>
      </c>
      <c r="H121" s="21" t="s">
        <v>131</v>
      </c>
      <c r="I121" s="22" t="s">
        <v>123</v>
      </c>
      <c r="J121" s="22" t="s">
        <v>123</v>
      </c>
      <c r="K121" s="23"/>
      <c r="L121" s="23" t="str">
        <f>"180,0"</f>
        <v>180,0</v>
      </c>
      <c r="M121" s="23" t="str">
        <f>"121,1220"</f>
        <v>121,1220</v>
      </c>
      <c r="N121" s="27" t="s">
        <v>37</v>
      </c>
    </row>
    <row r="122" spans="1:14" ht="12.75">
      <c r="A122" s="23" t="s">
        <v>38</v>
      </c>
      <c r="B122" s="20" t="s">
        <v>781</v>
      </c>
      <c r="C122" s="20" t="s">
        <v>782</v>
      </c>
      <c r="D122" s="20" t="s">
        <v>783</v>
      </c>
      <c r="E122" s="20" t="str">
        <f>"0,6969"</f>
        <v>0,6969</v>
      </c>
      <c r="F122" s="20" t="s">
        <v>270</v>
      </c>
      <c r="G122" s="20" t="s">
        <v>271</v>
      </c>
      <c r="H122" s="21" t="s">
        <v>104</v>
      </c>
      <c r="I122" s="21" t="s">
        <v>105</v>
      </c>
      <c r="J122" s="22" t="s">
        <v>102</v>
      </c>
      <c r="K122" s="23"/>
      <c r="L122" s="23" t="str">
        <f>"170,0"</f>
        <v>170,0</v>
      </c>
      <c r="M122" s="23" t="str">
        <f>"118,4730"</f>
        <v>118,4730</v>
      </c>
      <c r="N122" s="27" t="s">
        <v>37</v>
      </c>
    </row>
    <row r="123" spans="1:14" ht="12.75">
      <c r="A123" s="23" t="s">
        <v>72</v>
      </c>
      <c r="B123" s="20" t="s">
        <v>784</v>
      </c>
      <c r="C123" s="20" t="s">
        <v>785</v>
      </c>
      <c r="D123" s="20" t="s">
        <v>355</v>
      </c>
      <c r="E123" s="20" t="str">
        <f>"0,6754"</f>
        <v>0,6754</v>
      </c>
      <c r="F123" s="20" t="s">
        <v>15</v>
      </c>
      <c r="G123" s="27" t="s">
        <v>786</v>
      </c>
      <c r="H123" s="21" t="s">
        <v>105</v>
      </c>
      <c r="I123" s="22" t="s">
        <v>102</v>
      </c>
      <c r="J123" s="22" t="s">
        <v>102</v>
      </c>
      <c r="K123" s="23"/>
      <c r="L123" s="23" t="str">
        <f>"170,0"</f>
        <v>170,0</v>
      </c>
      <c r="M123" s="23" t="str">
        <f>"114,8180"</f>
        <v>114,8180</v>
      </c>
      <c r="N123" s="27" t="s">
        <v>37</v>
      </c>
    </row>
    <row r="124" spans="1:14" ht="12.75">
      <c r="A124" s="23" t="s">
        <v>74</v>
      </c>
      <c r="B124" s="20" t="s">
        <v>787</v>
      </c>
      <c r="C124" s="20" t="s">
        <v>788</v>
      </c>
      <c r="D124" s="20" t="s">
        <v>789</v>
      </c>
      <c r="E124" s="20" t="str">
        <f>"0,6769"</f>
        <v>0,6769</v>
      </c>
      <c r="F124" s="27" t="s">
        <v>431</v>
      </c>
      <c r="G124" s="20" t="s">
        <v>790</v>
      </c>
      <c r="H124" s="21" t="s">
        <v>104</v>
      </c>
      <c r="I124" s="22" t="s">
        <v>101</v>
      </c>
      <c r="J124" s="22" t="s">
        <v>169</v>
      </c>
      <c r="K124" s="23"/>
      <c r="L124" s="23" t="str">
        <f>"160,0"</f>
        <v>160,0</v>
      </c>
      <c r="M124" s="23" t="str">
        <f>"108,3040"</f>
        <v>108,3040</v>
      </c>
      <c r="N124" s="27" t="s">
        <v>37</v>
      </c>
    </row>
    <row r="125" spans="1:14" ht="12.75">
      <c r="A125" s="23" t="s">
        <v>85</v>
      </c>
      <c r="B125" s="20" t="s">
        <v>791</v>
      </c>
      <c r="C125" s="20" t="s">
        <v>792</v>
      </c>
      <c r="D125" s="20" t="s">
        <v>358</v>
      </c>
      <c r="E125" s="20" t="str">
        <f>"0,6827"</f>
        <v>0,6827</v>
      </c>
      <c r="F125" s="27" t="s">
        <v>165</v>
      </c>
      <c r="G125" s="20" t="s">
        <v>383</v>
      </c>
      <c r="H125" s="21" t="s">
        <v>92</v>
      </c>
      <c r="I125" s="22" t="s">
        <v>205</v>
      </c>
      <c r="J125" s="22" t="s">
        <v>205</v>
      </c>
      <c r="K125" s="23"/>
      <c r="L125" s="23" t="str">
        <f>"155,0"</f>
        <v>155,0</v>
      </c>
      <c r="M125" s="23" t="str">
        <f>"105,8185"</f>
        <v>105,8185</v>
      </c>
      <c r="N125" s="27" t="s">
        <v>37</v>
      </c>
    </row>
    <row r="126" spans="1:14" ht="12.75">
      <c r="A126" s="23" t="s">
        <v>136</v>
      </c>
      <c r="B126" s="20" t="s">
        <v>793</v>
      </c>
      <c r="C126" s="20" t="s">
        <v>794</v>
      </c>
      <c r="D126" s="20" t="s">
        <v>350</v>
      </c>
      <c r="E126" s="20" t="str">
        <f>"0,6739"</f>
        <v>0,6739</v>
      </c>
      <c r="F126" s="20" t="s">
        <v>15</v>
      </c>
      <c r="G126" s="27" t="s">
        <v>795</v>
      </c>
      <c r="H126" s="21" t="s">
        <v>68</v>
      </c>
      <c r="I126" s="21" t="s">
        <v>59</v>
      </c>
      <c r="J126" s="21" t="s">
        <v>147</v>
      </c>
      <c r="K126" s="23"/>
      <c r="L126" s="23" t="str">
        <f>"152,5"</f>
        <v>152,5</v>
      </c>
      <c r="M126" s="23" t="str">
        <f>"102,7698"</f>
        <v>102,7698</v>
      </c>
      <c r="N126" s="27" t="s">
        <v>37</v>
      </c>
    </row>
    <row r="127" spans="1:14" ht="12.75">
      <c r="A127" s="23" t="s">
        <v>139</v>
      </c>
      <c r="B127" s="20" t="s">
        <v>796</v>
      </c>
      <c r="C127" s="20" t="s">
        <v>797</v>
      </c>
      <c r="D127" s="20" t="s">
        <v>798</v>
      </c>
      <c r="E127" s="20" t="str">
        <f>"0,6963"</f>
        <v>0,6963</v>
      </c>
      <c r="F127" s="20" t="s">
        <v>15</v>
      </c>
      <c r="G127" s="20" t="s">
        <v>295</v>
      </c>
      <c r="H127" s="21" t="s">
        <v>80</v>
      </c>
      <c r="I127" s="22" t="s">
        <v>92</v>
      </c>
      <c r="J127" s="22" t="s">
        <v>92</v>
      </c>
      <c r="K127" s="23"/>
      <c r="L127" s="23" t="str">
        <f>"150,0"</f>
        <v>150,0</v>
      </c>
      <c r="M127" s="23" t="str">
        <f>"104,4450"</f>
        <v>104,4450</v>
      </c>
      <c r="N127" s="27" t="s">
        <v>37</v>
      </c>
    </row>
    <row r="128" spans="1:14" ht="12.75">
      <c r="A128" s="23" t="s">
        <v>142</v>
      </c>
      <c r="B128" s="20" t="s">
        <v>799</v>
      </c>
      <c r="C128" s="20" t="s">
        <v>800</v>
      </c>
      <c r="D128" s="20" t="s">
        <v>766</v>
      </c>
      <c r="E128" s="20" t="str">
        <f>"0,6759"</f>
        <v>0,6759</v>
      </c>
      <c r="F128" s="20" t="s">
        <v>15</v>
      </c>
      <c r="G128" s="20" t="s">
        <v>722</v>
      </c>
      <c r="H128" s="21" t="s">
        <v>80</v>
      </c>
      <c r="I128" s="22" t="s">
        <v>169</v>
      </c>
      <c r="J128" s="22" t="s">
        <v>169</v>
      </c>
      <c r="K128" s="23"/>
      <c r="L128" s="23" t="str">
        <f>"150,0"</f>
        <v>150,0</v>
      </c>
      <c r="M128" s="23" t="str">
        <f>"101,3850"</f>
        <v>101,3850</v>
      </c>
      <c r="N128" s="27" t="s">
        <v>37</v>
      </c>
    </row>
    <row r="129" spans="1:14" ht="12.75">
      <c r="A129" s="23" t="s">
        <v>427</v>
      </c>
      <c r="B129" s="20" t="s">
        <v>801</v>
      </c>
      <c r="C129" s="20" t="s">
        <v>802</v>
      </c>
      <c r="D129" s="20" t="s">
        <v>771</v>
      </c>
      <c r="E129" s="20" t="str">
        <f>"0,6806"</f>
        <v>0,6806</v>
      </c>
      <c r="F129" s="20" t="s">
        <v>15</v>
      </c>
      <c r="G129" s="20" t="s">
        <v>98</v>
      </c>
      <c r="H129" s="21" t="s">
        <v>59</v>
      </c>
      <c r="I129" s="22" t="s">
        <v>80</v>
      </c>
      <c r="J129" s="22" t="s">
        <v>80</v>
      </c>
      <c r="K129" s="23"/>
      <c r="L129" s="23" t="str">
        <f>"145,0"</f>
        <v>145,0</v>
      </c>
      <c r="M129" s="23" t="str">
        <f>"98,6870"</f>
        <v>98,6870</v>
      </c>
      <c r="N129" s="27" t="s">
        <v>803</v>
      </c>
    </row>
    <row r="130" spans="1:14" ht="12.75">
      <c r="A130" s="23" t="s">
        <v>731</v>
      </c>
      <c r="B130" s="20" t="s">
        <v>804</v>
      </c>
      <c r="C130" s="20" t="s">
        <v>805</v>
      </c>
      <c r="D130" s="20" t="s">
        <v>154</v>
      </c>
      <c r="E130" s="20" t="str">
        <f>"0,6922"</f>
        <v>0,6922</v>
      </c>
      <c r="F130" s="20" t="s">
        <v>15</v>
      </c>
      <c r="G130" s="27" t="s">
        <v>806</v>
      </c>
      <c r="H130" s="21" t="s">
        <v>57</v>
      </c>
      <c r="I130" s="21" t="s">
        <v>58</v>
      </c>
      <c r="J130" s="22" t="s">
        <v>59</v>
      </c>
      <c r="K130" s="23"/>
      <c r="L130" s="23" t="str">
        <f>"140,0"</f>
        <v>140,0</v>
      </c>
      <c r="M130" s="23" t="str">
        <f>"96,9080"</f>
        <v>96,9080</v>
      </c>
      <c r="N130" s="27" t="s">
        <v>550</v>
      </c>
    </row>
    <row r="131" spans="1:14" ht="12.75">
      <c r="A131" s="23" t="s">
        <v>736</v>
      </c>
      <c r="B131" s="20" t="s">
        <v>807</v>
      </c>
      <c r="C131" s="20" t="s">
        <v>808</v>
      </c>
      <c r="D131" s="20" t="s">
        <v>809</v>
      </c>
      <c r="E131" s="20" t="str">
        <f>"0,6719"</f>
        <v>0,6719</v>
      </c>
      <c r="F131" s="20" t="s">
        <v>15</v>
      </c>
      <c r="G131" s="20" t="s">
        <v>16</v>
      </c>
      <c r="H131" s="21" t="s">
        <v>82</v>
      </c>
      <c r="I131" s="21" t="s">
        <v>111</v>
      </c>
      <c r="J131" s="21" t="s">
        <v>58</v>
      </c>
      <c r="K131" s="23"/>
      <c r="L131" s="23" t="str">
        <f>"140,0"</f>
        <v>140,0</v>
      </c>
      <c r="M131" s="23" t="str">
        <f>"94,0660"</f>
        <v>94,0660</v>
      </c>
      <c r="N131" s="27" t="s">
        <v>37</v>
      </c>
    </row>
    <row r="132" spans="1:14" ht="12.75">
      <c r="A132" s="23" t="s">
        <v>741</v>
      </c>
      <c r="B132" s="20" t="s">
        <v>810</v>
      </c>
      <c r="C132" s="20" t="s">
        <v>811</v>
      </c>
      <c r="D132" s="20" t="s">
        <v>809</v>
      </c>
      <c r="E132" s="20" t="str">
        <f>"0,6719"</f>
        <v>0,6719</v>
      </c>
      <c r="F132" s="20" t="s">
        <v>15</v>
      </c>
      <c r="G132" s="20" t="s">
        <v>812</v>
      </c>
      <c r="H132" s="21" t="s">
        <v>119</v>
      </c>
      <c r="I132" s="22" t="s">
        <v>59</v>
      </c>
      <c r="J132" s="22" t="s">
        <v>59</v>
      </c>
      <c r="K132" s="23"/>
      <c r="L132" s="23" t="str">
        <f>"137,5"</f>
        <v>137,5</v>
      </c>
      <c r="M132" s="23" t="str">
        <f>"92,3862"</f>
        <v>92,3862</v>
      </c>
      <c r="N132" s="27" t="s">
        <v>37</v>
      </c>
    </row>
    <row r="133" spans="1:14" ht="12.75">
      <c r="A133" s="23" t="s">
        <v>744</v>
      </c>
      <c r="B133" s="20" t="s">
        <v>813</v>
      </c>
      <c r="C133" s="20" t="s">
        <v>814</v>
      </c>
      <c r="D133" s="20" t="s">
        <v>358</v>
      </c>
      <c r="E133" s="20" t="str">
        <f>"0,6827"</f>
        <v>0,6827</v>
      </c>
      <c r="F133" s="20" t="s">
        <v>15</v>
      </c>
      <c r="G133" s="27" t="s">
        <v>815</v>
      </c>
      <c r="H133" s="22" t="s">
        <v>57</v>
      </c>
      <c r="I133" s="22" t="s">
        <v>57</v>
      </c>
      <c r="J133" s="21" t="s">
        <v>57</v>
      </c>
      <c r="K133" s="23"/>
      <c r="L133" s="23" t="str">
        <f>"130,0"</f>
        <v>130,0</v>
      </c>
      <c r="M133" s="23" t="str">
        <f>"88,7510"</f>
        <v>88,7510</v>
      </c>
      <c r="N133" s="27" t="s">
        <v>37</v>
      </c>
    </row>
    <row r="134" spans="1:14" ht="12.75">
      <c r="A134" s="23" t="s">
        <v>747</v>
      </c>
      <c r="B134" s="20" t="s">
        <v>353</v>
      </c>
      <c r="C134" s="20" t="s">
        <v>354</v>
      </c>
      <c r="D134" s="20" t="s">
        <v>149</v>
      </c>
      <c r="E134" s="20" t="str">
        <f>"0,6774"</f>
        <v>0,6774</v>
      </c>
      <c r="F134" s="20" t="s">
        <v>15</v>
      </c>
      <c r="G134" s="20" t="s">
        <v>345</v>
      </c>
      <c r="H134" s="21" t="s">
        <v>57</v>
      </c>
      <c r="I134" s="22" t="s">
        <v>58</v>
      </c>
      <c r="J134" s="22" t="s">
        <v>58</v>
      </c>
      <c r="K134" s="23"/>
      <c r="L134" s="23" t="str">
        <f>"130,0"</f>
        <v>130,0</v>
      </c>
      <c r="M134" s="23" t="str">
        <f>"88,0620"</f>
        <v>88,0620</v>
      </c>
      <c r="N134" s="27" t="s">
        <v>356</v>
      </c>
    </row>
    <row r="135" spans="1:14" ht="12.75">
      <c r="A135" s="23" t="s">
        <v>750</v>
      </c>
      <c r="B135" s="20" t="s">
        <v>816</v>
      </c>
      <c r="C135" s="20" t="s">
        <v>817</v>
      </c>
      <c r="D135" s="20" t="s">
        <v>818</v>
      </c>
      <c r="E135" s="20" t="str">
        <f>"0,6905"</f>
        <v>0,6905</v>
      </c>
      <c r="F135" s="20" t="s">
        <v>15</v>
      </c>
      <c r="G135" s="20" t="s">
        <v>16</v>
      </c>
      <c r="H135" s="21" t="s">
        <v>95</v>
      </c>
      <c r="I135" s="22" t="s">
        <v>119</v>
      </c>
      <c r="J135" s="22" t="s">
        <v>119</v>
      </c>
      <c r="K135" s="23"/>
      <c r="L135" s="23" t="str">
        <f>"127,5"</f>
        <v>127,5</v>
      </c>
      <c r="M135" s="23" t="str">
        <f>"88,0388"</f>
        <v>88,0388</v>
      </c>
      <c r="N135" s="27" t="s">
        <v>37</v>
      </c>
    </row>
    <row r="136" spans="1:14" ht="12.75">
      <c r="A136" s="23" t="s">
        <v>13</v>
      </c>
      <c r="B136" s="20" t="s">
        <v>819</v>
      </c>
      <c r="C136" s="20" t="s">
        <v>820</v>
      </c>
      <c r="D136" s="20" t="s">
        <v>357</v>
      </c>
      <c r="E136" s="20" t="str">
        <f>"0,6749"</f>
        <v>0,6749</v>
      </c>
      <c r="F136" s="20" t="s">
        <v>15</v>
      </c>
      <c r="G136" s="20" t="s">
        <v>286</v>
      </c>
      <c r="H136" s="22" t="s">
        <v>80</v>
      </c>
      <c r="I136" s="22" t="s">
        <v>104</v>
      </c>
      <c r="J136" s="22" t="s">
        <v>104</v>
      </c>
      <c r="K136" s="23"/>
      <c r="L136" s="23" t="s">
        <v>23</v>
      </c>
      <c r="M136" s="23" t="str">
        <f>"0,0000"</f>
        <v>0,0000</v>
      </c>
      <c r="N136" s="27" t="s">
        <v>37</v>
      </c>
    </row>
    <row r="137" spans="1:14" ht="12.75">
      <c r="A137" s="23" t="s">
        <v>13</v>
      </c>
      <c r="B137" s="20" t="s">
        <v>821</v>
      </c>
      <c r="C137" s="20" t="s">
        <v>822</v>
      </c>
      <c r="D137" s="20" t="s">
        <v>269</v>
      </c>
      <c r="E137" s="20" t="str">
        <f>"0,6729"</f>
        <v>0,6729</v>
      </c>
      <c r="F137" s="20" t="s">
        <v>15</v>
      </c>
      <c r="G137" s="20" t="s">
        <v>16</v>
      </c>
      <c r="H137" s="22" t="s">
        <v>59</v>
      </c>
      <c r="I137" s="22" t="s">
        <v>59</v>
      </c>
      <c r="J137" s="22" t="s">
        <v>59</v>
      </c>
      <c r="K137" s="23"/>
      <c r="L137" s="23" t="s">
        <v>23</v>
      </c>
      <c r="M137" s="23" t="str">
        <f>"0,0000"</f>
        <v>0,0000</v>
      </c>
      <c r="N137" s="27" t="s">
        <v>37</v>
      </c>
    </row>
    <row r="138" spans="1:14" ht="12.75">
      <c r="A138" s="23" t="s">
        <v>13</v>
      </c>
      <c r="B138" s="20" t="s">
        <v>823</v>
      </c>
      <c r="C138" s="20" t="s">
        <v>824</v>
      </c>
      <c r="D138" s="20" t="s">
        <v>269</v>
      </c>
      <c r="E138" s="20" t="str">
        <f>"0,6729"</f>
        <v>0,6729</v>
      </c>
      <c r="F138" s="20" t="s">
        <v>15</v>
      </c>
      <c r="G138" s="20" t="s">
        <v>198</v>
      </c>
      <c r="H138" s="22" t="s">
        <v>84</v>
      </c>
      <c r="I138" s="22" t="s">
        <v>84</v>
      </c>
      <c r="J138" s="22" t="s">
        <v>84</v>
      </c>
      <c r="K138" s="23"/>
      <c r="L138" s="23" t="s">
        <v>23</v>
      </c>
      <c r="M138" s="23" t="str">
        <f>"0,0000"</f>
        <v>0,0000</v>
      </c>
      <c r="N138" s="27" t="s">
        <v>37</v>
      </c>
    </row>
    <row r="139" spans="1:14" ht="12.75">
      <c r="A139" s="23" t="s">
        <v>24</v>
      </c>
      <c r="B139" s="20" t="s">
        <v>791</v>
      </c>
      <c r="C139" s="20" t="s">
        <v>825</v>
      </c>
      <c r="D139" s="20" t="s">
        <v>358</v>
      </c>
      <c r="E139" s="20" t="str">
        <f>"0,6827"</f>
        <v>0,6827</v>
      </c>
      <c r="F139" s="27" t="s">
        <v>165</v>
      </c>
      <c r="G139" s="20" t="s">
        <v>383</v>
      </c>
      <c r="H139" s="21" t="s">
        <v>92</v>
      </c>
      <c r="I139" s="22" t="s">
        <v>205</v>
      </c>
      <c r="J139" s="22" t="s">
        <v>205</v>
      </c>
      <c r="K139" s="23"/>
      <c r="L139" s="23" t="str">
        <f>"155,0"</f>
        <v>155,0</v>
      </c>
      <c r="M139" s="23" t="str">
        <f>"119,7865"</f>
        <v>119,7865</v>
      </c>
      <c r="N139" s="27" t="s">
        <v>37</v>
      </c>
    </row>
    <row r="140" spans="1:14" ht="12.75">
      <c r="A140" s="23" t="s">
        <v>38</v>
      </c>
      <c r="B140" s="20" t="s">
        <v>826</v>
      </c>
      <c r="C140" s="20" t="s">
        <v>827</v>
      </c>
      <c r="D140" s="20" t="s">
        <v>809</v>
      </c>
      <c r="E140" s="20" t="str">
        <f>"0,6719"</f>
        <v>0,6719</v>
      </c>
      <c r="F140" s="20" t="s">
        <v>15</v>
      </c>
      <c r="G140" s="20" t="s">
        <v>151</v>
      </c>
      <c r="H140" s="21" t="s">
        <v>95</v>
      </c>
      <c r="I140" s="21" t="s">
        <v>111</v>
      </c>
      <c r="J140" s="21" t="s">
        <v>68</v>
      </c>
      <c r="K140" s="23"/>
      <c r="L140" s="23" t="str">
        <f>"135,0"</f>
        <v>135,0</v>
      </c>
      <c r="M140" s="23" t="str">
        <f>"91,9764"</f>
        <v>91,9764</v>
      </c>
      <c r="N140" s="27" t="s">
        <v>451</v>
      </c>
    </row>
    <row r="141" spans="1:14" ht="12.75">
      <c r="A141" s="23" t="s">
        <v>72</v>
      </c>
      <c r="B141" s="20" t="s">
        <v>828</v>
      </c>
      <c r="C141" s="20" t="s">
        <v>829</v>
      </c>
      <c r="D141" s="20" t="s">
        <v>403</v>
      </c>
      <c r="E141" s="20" t="str">
        <f>"0,6832"</f>
        <v>0,6832</v>
      </c>
      <c r="F141" s="20" t="s">
        <v>15</v>
      </c>
      <c r="G141" s="20" t="s">
        <v>16</v>
      </c>
      <c r="H141" s="21" t="s">
        <v>64</v>
      </c>
      <c r="I141" s="21" t="s">
        <v>82</v>
      </c>
      <c r="J141" s="21" t="s">
        <v>95</v>
      </c>
      <c r="K141" s="23"/>
      <c r="L141" s="23" t="str">
        <f>"127,5"</f>
        <v>127,5</v>
      </c>
      <c r="M141" s="23" t="str">
        <f>"87,5435"</f>
        <v>87,5435</v>
      </c>
      <c r="N141" s="27" t="s">
        <v>37</v>
      </c>
    </row>
    <row r="142" spans="1:14" ht="12.75">
      <c r="A142" s="23" t="s">
        <v>13</v>
      </c>
      <c r="B142" s="20" t="s">
        <v>830</v>
      </c>
      <c r="C142" s="20" t="s">
        <v>831</v>
      </c>
      <c r="D142" s="20" t="s">
        <v>145</v>
      </c>
      <c r="E142" s="20" t="str">
        <f>"0,6800"</f>
        <v>0,6800</v>
      </c>
      <c r="F142" s="20" t="s">
        <v>15</v>
      </c>
      <c r="G142" s="20" t="s">
        <v>16</v>
      </c>
      <c r="H142" s="22" t="s">
        <v>33</v>
      </c>
      <c r="I142" s="22" t="s">
        <v>33</v>
      </c>
      <c r="J142" s="22" t="s">
        <v>33</v>
      </c>
      <c r="K142" s="23"/>
      <c r="L142" s="23" t="s">
        <v>23</v>
      </c>
      <c r="M142" s="23" t="str">
        <f>"0,0000"</f>
        <v>0,0000</v>
      </c>
      <c r="N142" s="27" t="s">
        <v>37</v>
      </c>
    </row>
    <row r="143" spans="1:14" ht="12.75">
      <c r="A143" s="23" t="s">
        <v>24</v>
      </c>
      <c r="B143" s="20" t="s">
        <v>832</v>
      </c>
      <c r="C143" s="20" t="s">
        <v>833</v>
      </c>
      <c r="D143" s="20" t="s">
        <v>150</v>
      </c>
      <c r="E143" s="20" t="str">
        <f>"0,6704"</f>
        <v>0,6704</v>
      </c>
      <c r="F143" s="20" t="s">
        <v>15</v>
      </c>
      <c r="G143" s="20" t="s">
        <v>435</v>
      </c>
      <c r="H143" s="21" t="s">
        <v>80</v>
      </c>
      <c r="I143" s="21" t="s">
        <v>104</v>
      </c>
      <c r="J143" s="22" t="s">
        <v>101</v>
      </c>
      <c r="K143" s="23"/>
      <c r="L143" s="23" t="str">
        <f>"160,0"</f>
        <v>160,0</v>
      </c>
      <c r="M143" s="23" t="str">
        <f>"139,1214"</f>
        <v>139,1214</v>
      </c>
      <c r="N143" s="27" t="s">
        <v>37</v>
      </c>
    </row>
    <row r="144" spans="1:14" ht="12.75">
      <c r="A144" s="23" t="s">
        <v>38</v>
      </c>
      <c r="B144" s="20" t="s">
        <v>834</v>
      </c>
      <c r="C144" s="20" t="s">
        <v>835</v>
      </c>
      <c r="D144" s="20" t="s">
        <v>836</v>
      </c>
      <c r="E144" s="20" t="str">
        <f>"0,6957"</f>
        <v>0,6957</v>
      </c>
      <c r="F144" s="20" t="s">
        <v>270</v>
      </c>
      <c r="G144" s="20" t="s">
        <v>271</v>
      </c>
      <c r="H144" s="21" t="s">
        <v>61</v>
      </c>
      <c r="I144" s="21" t="s">
        <v>57</v>
      </c>
      <c r="J144" s="21" t="s">
        <v>58</v>
      </c>
      <c r="K144" s="23"/>
      <c r="L144" s="23" t="str">
        <f>"140,0"</f>
        <v>140,0</v>
      </c>
      <c r="M144" s="23" t="str">
        <f>"117,5594"</f>
        <v>117,5594</v>
      </c>
      <c r="N144" s="27" t="s">
        <v>37</v>
      </c>
    </row>
    <row r="145" spans="1:14" ht="12.75">
      <c r="A145" s="23" t="s">
        <v>72</v>
      </c>
      <c r="B145" s="20" t="s">
        <v>837</v>
      </c>
      <c r="C145" s="20" t="s">
        <v>838</v>
      </c>
      <c r="D145" s="20" t="s">
        <v>839</v>
      </c>
      <c r="E145" s="20" t="str">
        <f>"0,6910"</f>
        <v>0,6910</v>
      </c>
      <c r="F145" s="20" t="s">
        <v>15</v>
      </c>
      <c r="G145" s="27" t="s">
        <v>840</v>
      </c>
      <c r="H145" s="21" t="s">
        <v>34</v>
      </c>
      <c r="I145" s="22" t="s">
        <v>134</v>
      </c>
      <c r="J145" s="21" t="s">
        <v>134</v>
      </c>
      <c r="K145" s="23"/>
      <c r="L145" s="23" t="str">
        <f>"122,5"</f>
        <v>122,5</v>
      </c>
      <c r="M145" s="23" t="str">
        <f>"111,9040"</f>
        <v>111,9040</v>
      </c>
      <c r="N145" s="27" t="s">
        <v>37</v>
      </c>
    </row>
    <row r="146" spans="1:14" ht="12.75">
      <c r="A146" s="23" t="s">
        <v>74</v>
      </c>
      <c r="B146" s="20" t="s">
        <v>841</v>
      </c>
      <c r="C146" s="20" t="s">
        <v>842</v>
      </c>
      <c r="D146" s="20" t="s">
        <v>257</v>
      </c>
      <c r="E146" s="20" t="str">
        <f>"0,6699"</f>
        <v>0,6699</v>
      </c>
      <c r="F146" s="20" t="s">
        <v>15</v>
      </c>
      <c r="G146" s="20" t="s">
        <v>122</v>
      </c>
      <c r="H146" s="21" t="s">
        <v>33</v>
      </c>
      <c r="I146" s="22" t="s">
        <v>84</v>
      </c>
      <c r="J146" s="21" t="s">
        <v>84</v>
      </c>
      <c r="K146" s="23"/>
      <c r="L146" s="23" t="str">
        <f>"112,5"</f>
        <v>112,5</v>
      </c>
      <c r="M146" s="23" t="str">
        <f>"88,0249"</f>
        <v>88,0249</v>
      </c>
      <c r="N146" s="27" t="s">
        <v>37</v>
      </c>
    </row>
    <row r="147" spans="1:14" ht="12.75">
      <c r="A147" s="18" t="s">
        <v>24</v>
      </c>
      <c r="B147" s="16" t="s">
        <v>843</v>
      </c>
      <c r="C147" s="16" t="s">
        <v>844</v>
      </c>
      <c r="D147" s="16" t="s">
        <v>771</v>
      </c>
      <c r="E147" s="16" t="str">
        <f>"0,6806"</f>
        <v>0,6806</v>
      </c>
      <c r="F147" s="16" t="s">
        <v>15</v>
      </c>
      <c r="G147" s="16" t="s">
        <v>16</v>
      </c>
      <c r="H147" s="17" t="s">
        <v>58</v>
      </c>
      <c r="I147" s="17" t="s">
        <v>59</v>
      </c>
      <c r="J147" s="19" t="s">
        <v>253</v>
      </c>
      <c r="K147" s="18"/>
      <c r="L147" s="18" t="str">
        <f>"145,0"</f>
        <v>145,0</v>
      </c>
      <c r="M147" s="18" t="str">
        <f>"139,1487"</f>
        <v>139,1487</v>
      </c>
      <c r="N147" s="28" t="s">
        <v>37</v>
      </c>
    </row>
    <row r="148" ht="12.75">
      <c r="B148" s="6" t="s">
        <v>31</v>
      </c>
    </row>
    <row r="149" spans="1:13" ht="15">
      <c r="A149" s="43" t="s">
        <v>160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4" ht="12.75">
      <c r="A150" s="15" t="s">
        <v>24</v>
      </c>
      <c r="B150" s="12" t="s">
        <v>845</v>
      </c>
      <c r="C150" s="12" t="s">
        <v>846</v>
      </c>
      <c r="D150" s="12" t="s">
        <v>416</v>
      </c>
      <c r="E150" s="12" t="str">
        <f>"0,6451"</f>
        <v>0,6451</v>
      </c>
      <c r="F150" s="12" t="s">
        <v>15</v>
      </c>
      <c r="G150" s="12" t="s">
        <v>16</v>
      </c>
      <c r="H150" s="13" t="s">
        <v>61</v>
      </c>
      <c r="I150" s="13" t="s">
        <v>22</v>
      </c>
      <c r="J150" s="14" t="s">
        <v>33</v>
      </c>
      <c r="K150" s="15"/>
      <c r="L150" s="15" t="str">
        <f>"105,0"</f>
        <v>105,0</v>
      </c>
      <c r="M150" s="15" t="str">
        <f>"67,7355"</f>
        <v>67,7355</v>
      </c>
      <c r="N150" s="26" t="s">
        <v>268</v>
      </c>
    </row>
    <row r="151" spans="1:14" ht="12.75">
      <c r="A151" s="23" t="s">
        <v>24</v>
      </c>
      <c r="B151" s="20" t="s">
        <v>360</v>
      </c>
      <c r="C151" s="20" t="s">
        <v>361</v>
      </c>
      <c r="D151" s="20" t="s">
        <v>362</v>
      </c>
      <c r="E151" s="20" t="str">
        <f>"0,6436"</f>
        <v>0,6436</v>
      </c>
      <c r="F151" s="20" t="s">
        <v>233</v>
      </c>
      <c r="G151" s="20" t="s">
        <v>363</v>
      </c>
      <c r="H151" s="21" t="s">
        <v>104</v>
      </c>
      <c r="I151" s="21" t="s">
        <v>105</v>
      </c>
      <c r="J151" s="22" t="s">
        <v>102</v>
      </c>
      <c r="K151" s="23"/>
      <c r="L151" s="23" t="str">
        <f>"170,0"</f>
        <v>170,0</v>
      </c>
      <c r="M151" s="23" t="str">
        <f>"109,4120"</f>
        <v>109,4120</v>
      </c>
      <c r="N151" s="27" t="s">
        <v>37</v>
      </c>
    </row>
    <row r="152" spans="1:14" ht="12.75">
      <c r="A152" s="23" t="s">
        <v>38</v>
      </c>
      <c r="B152" s="20" t="s">
        <v>847</v>
      </c>
      <c r="C152" s="20" t="s">
        <v>848</v>
      </c>
      <c r="D152" s="20" t="s">
        <v>849</v>
      </c>
      <c r="E152" s="20" t="str">
        <f>"0,6507"</f>
        <v>0,6507</v>
      </c>
      <c r="F152" s="20" t="s">
        <v>15</v>
      </c>
      <c r="G152" s="20" t="s">
        <v>16</v>
      </c>
      <c r="H152" s="22" t="s">
        <v>68</v>
      </c>
      <c r="I152" s="21" t="s">
        <v>68</v>
      </c>
      <c r="J152" s="21" t="s">
        <v>69</v>
      </c>
      <c r="K152" s="23"/>
      <c r="L152" s="23" t="str">
        <f>"142,5"</f>
        <v>142,5</v>
      </c>
      <c r="M152" s="23" t="str">
        <f>"92,7247"</f>
        <v>92,7247</v>
      </c>
      <c r="N152" s="27" t="s">
        <v>37</v>
      </c>
    </row>
    <row r="153" spans="1:14" ht="12.75">
      <c r="A153" s="23" t="s">
        <v>72</v>
      </c>
      <c r="B153" s="20" t="s">
        <v>162</v>
      </c>
      <c r="C153" s="20" t="s">
        <v>163</v>
      </c>
      <c r="D153" s="20" t="s">
        <v>164</v>
      </c>
      <c r="E153" s="20" t="str">
        <f>"0,6410"</f>
        <v>0,6410</v>
      </c>
      <c r="F153" s="27" t="s">
        <v>165</v>
      </c>
      <c r="G153" s="20" t="s">
        <v>166</v>
      </c>
      <c r="H153" s="21" t="s">
        <v>68</v>
      </c>
      <c r="I153" s="21" t="s">
        <v>58</v>
      </c>
      <c r="J153" s="22" t="s">
        <v>59</v>
      </c>
      <c r="K153" s="23"/>
      <c r="L153" s="23" t="str">
        <f>"140,0"</f>
        <v>140,0</v>
      </c>
      <c r="M153" s="23" t="str">
        <f>"89,7400"</f>
        <v>89,7400</v>
      </c>
      <c r="N153" s="27" t="s">
        <v>167</v>
      </c>
    </row>
    <row r="154" spans="1:14" ht="12.75">
      <c r="A154" s="23" t="s">
        <v>24</v>
      </c>
      <c r="B154" s="20" t="s">
        <v>850</v>
      </c>
      <c r="C154" s="20" t="s">
        <v>851</v>
      </c>
      <c r="D154" s="20" t="s">
        <v>179</v>
      </c>
      <c r="E154" s="20" t="str">
        <f>"0,6417"</f>
        <v>0,6417</v>
      </c>
      <c r="F154" s="20" t="s">
        <v>15</v>
      </c>
      <c r="G154" s="20" t="s">
        <v>852</v>
      </c>
      <c r="H154" s="21" t="s">
        <v>104</v>
      </c>
      <c r="I154" s="21" t="s">
        <v>101</v>
      </c>
      <c r="J154" s="22" t="s">
        <v>105</v>
      </c>
      <c r="K154" s="23"/>
      <c r="L154" s="23" t="str">
        <f>"165,0"</f>
        <v>165,0</v>
      </c>
      <c r="M154" s="23" t="str">
        <f>"105,8805"</f>
        <v>105,8805</v>
      </c>
      <c r="N154" s="27" t="s">
        <v>37</v>
      </c>
    </row>
    <row r="155" spans="1:14" ht="12.75">
      <c r="A155" s="23" t="s">
        <v>38</v>
      </c>
      <c r="B155" s="20" t="s">
        <v>853</v>
      </c>
      <c r="C155" s="20" t="s">
        <v>854</v>
      </c>
      <c r="D155" s="20" t="s">
        <v>855</v>
      </c>
      <c r="E155" s="20" t="str">
        <f>"0,6606"</f>
        <v>0,6606</v>
      </c>
      <c r="F155" s="20" t="s">
        <v>270</v>
      </c>
      <c r="G155" s="20" t="s">
        <v>271</v>
      </c>
      <c r="H155" s="21" t="s">
        <v>58</v>
      </c>
      <c r="I155" s="21" t="s">
        <v>253</v>
      </c>
      <c r="J155" s="22" t="s">
        <v>80</v>
      </c>
      <c r="K155" s="23"/>
      <c r="L155" s="23" t="str">
        <f>"147,5"</f>
        <v>147,5</v>
      </c>
      <c r="M155" s="23" t="str">
        <f>"97,4385"</f>
        <v>97,4385</v>
      </c>
      <c r="N155" s="27" t="s">
        <v>37</v>
      </c>
    </row>
    <row r="156" spans="1:14" ht="12.75">
      <c r="A156" s="23" t="s">
        <v>72</v>
      </c>
      <c r="B156" s="20" t="s">
        <v>856</v>
      </c>
      <c r="C156" s="20" t="s">
        <v>857</v>
      </c>
      <c r="D156" s="20" t="s">
        <v>456</v>
      </c>
      <c r="E156" s="20" t="str">
        <f>"0,6459"</f>
        <v>0,6459</v>
      </c>
      <c r="F156" s="20" t="s">
        <v>15</v>
      </c>
      <c r="G156" s="20" t="s">
        <v>424</v>
      </c>
      <c r="H156" s="21" t="s">
        <v>68</v>
      </c>
      <c r="I156" s="22" t="s">
        <v>58</v>
      </c>
      <c r="J156" s="22" t="s">
        <v>58</v>
      </c>
      <c r="K156" s="23"/>
      <c r="L156" s="23" t="str">
        <f>"135,0"</f>
        <v>135,0</v>
      </c>
      <c r="M156" s="23" t="str">
        <f>"87,1965"</f>
        <v>87,1965</v>
      </c>
      <c r="N156" s="27" t="s">
        <v>37</v>
      </c>
    </row>
    <row r="157" spans="1:14" ht="12.75">
      <c r="A157" s="23" t="s">
        <v>13</v>
      </c>
      <c r="B157" s="20" t="s">
        <v>858</v>
      </c>
      <c r="C157" s="20" t="s">
        <v>859</v>
      </c>
      <c r="D157" s="20" t="s">
        <v>411</v>
      </c>
      <c r="E157" s="20" t="str">
        <f>"0,6444"</f>
        <v>0,6444</v>
      </c>
      <c r="F157" s="20" t="s">
        <v>15</v>
      </c>
      <c r="G157" s="20" t="s">
        <v>860</v>
      </c>
      <c r="H157" s="22" t="s">
        <v>64</v>
      </c>
      <c r="I157" s="22" t="s">
        <v>82</v>
      </c>
      <c r="J157" s="22" t="s">
        <v>82</v>
      </c>
      <c r="K157" s="23"/>
      <c r="L157" s="23" t="s">
        <v>23</v>
      </c>
      <c r="M157" s="23" t="str">
        <f>"0,0000"</f>
        <v>0,0000</v>
      </c>
      <c r="N157" s="27" t="s">
        <v>37</v>
      </c>
    </row>
    <row r="158" spans="1:14" ht="12.75">
      <c r="A158" s="23" t="s">
        <v>24</v>
      </c>
      <c r="B158" s="20" t="s">
        <v>364</v>
      </c>
      <c r="C158" s="20" t="s">
        <v>367</v>
      </c>
      <c r="D158" s="20" t="s">
        <v>172</v>
      </c>
      <c r="E158" s="20" t="str">
        <f>"0,6384"</f>
        <v>0,6384</v>
      </c>
      <c r="F158" s="20" t="s">
        <v>15</v>
      </c>
      <c r="G158" s="20" t="s">
        <v>261</v>
      </c>
      <c r="H158" s="21" t="s">
        <v>124</v>
      </c>
      <c r="I158" s="22" t="s">
        <v>116</v>
      </c>
      <c r="J158" s="21" t="s">
        <v>116</v>
      </c>
      <c r="K158" s="23"/>
      <c r="L158" s="23" t="str">
        <f>"200,0"</f>
        <v>200,0</v>
      </c>
      <c r="M158" s="23" t="str">
        <f>"127,6800"</f>
        <v>127,6800</v>
      </c>
      <c r="N158" s="27" t="s">
        <v>365</v>
      </c>
    </row>
    <row r="159" spans="1:14" ht="12.75">
      <c r="A159" s="23" t="s">
        <v>38</v>
      </c>
      <c r="B159" s="20" t="s">
        <v>861</v>
      </c>
      <c r="C159" s="20" t="s">
        <v>862</v>
      </c>
      <c r="D159" s="20" t="s">
        <v>863</v>
      </c>
      <c r="E159" s="20" t="str">
        <f>"0,6528"</f>
        <v>0,6528</v>
      </c>
      <c r="F159" s="20" t="s">
        <v>15</v>
      </c>
      <c r="G159" s="20" t="s">
        <v>16</v>
      </c>
      <c r="H159" s="21" t="s">
        <v>102</v>
      </c>
      <c r="I159" s="22" t="s">
        <v>131</v>
      </c>
      <c r="J159" s="21" t="s">
        <v>131</v>
      </c>
      <c r="K159" s="23"/>
      <c r="L159" s="23" t="str">
        <f>"180,0"</f>
        <v>180,0</v>
      </c>
      <c r="M159" s="23" t="str">
        <f>"117,5040"</f>
        <v>117,5040</v>
      </c>
      <c r="N159" s="27" t="s">
        <v>864</v>
      </c>
    </row>
    <row r="160" spans="1:14" ht="12.75">
      <c r="A160" s="23" t="s">
        <v>72</v>
      </c>
      <c r="B160" s="20" t="s">
        <v>865</v>
      </c>
      <c r="C160" s="20" t="s">
        <v>866</v>
      </c>
      <c r="D160" s="20" t="s">
        <v>867</v>
      </c>
      <c r="E160" s="20" t="str">
        <f>"0,6467"</f>
        <v>0,6467</v>
      </c>
      <c r="F160" s="20" t="s">
        <v>15</v>
      </c>
      <c r="G160" s="20" t="s">
        <v>16</v>
      </c>
      <c r="H160" s="21" t="s">
        <v>101</v>
      </c>
      <c r="I160" s="21" t="s">
        <v>102</v>
      </c>
      <c r="J160" s="22" t="s">
        <v>222</v>
      </c>
      <c r="K160" s="23"/>
      <c r="L160" s="23" t="str">
        <f>"175,0"</f>
        <v>175,0</v>
      </c>
      <c r="M160" s="23" t="str">
        <f>"113,1725"</f>
        <v>113,1725</v>
      </c>
      <c r="N160" s="27" t="s">
        <v>37</v>
      </c>
    </row>
    <row r="161" spans="1:14" ht="12.75">
      <c r="A161" s="23" t="s">
        <v>74</v>
      </c>
      <c r="B161" s="20" t="s">
        <v>868</v>
      </c>
      <c r="C161" s="20" t="s">
        <v>869</v>
      </c>
      <c r="D161" s="20" t="s">
        <v>183</v>
      </c>
      <c r="E161" s="20" t="str">
        <f>"0,6424"</f>
        <v>0,6424</v>
      </c>
      <c r="F161" s="20" t="s">
        <v>15</v>
      </c>
      <c r="G161" s="20" t="s">
        <v>16</v>
      </c>
      <c r="H161" s="22" t="s">
        <v>105</v>
      </c>
      <c r="I161" s="21" t="s">
        <v>102</v>
      </c>
      <c r="J161" s="22" t="s">
        <v>189</v>
      </c>
      <c r="K161" s="23"/>
      <c r="L161" s="23" t="str">
        <f>"175,0"</f>
        <v>175,0</v>
      </c>
      <c r="M161" s="23" t="str">
        <f>"112,4200"</f>
        <v>112,4200</v>
      </c>
      <c r="N161" s="27" t="s">
        <v>870</v>
      </c>
    </row>
    <row r="162" spans="1:14" ht="12.75">
      <c r="A162" s="23" t="s">
        <v>85</v>
      </c>
      <c r="B162" s="20" t="s">
        <v>871</v>
      </c>
      <c r="C162" s="20" t="s">
        <v>872</v>
      </c>
      <c r="D162" s="20" t="s">
        <v>179</v>
      </c>
      <c r="E162" s="20" t="str">
        <f>"0,6417"</f>
        <v>0,6417</v>
      </c>
      <c r="F162" s="20" t="s">
        <v>15</v>
      </c>
      <c r="G162" s="20" t="s">
        <v>310</v>
      </c>
      <c r="H162" s="21" t="s">
        <v>104</v>
      </c>
      <c r="I162" s="22" t="s">
        <v>105</v>
      </c>
      <c r="J162" s="21" t="s">
        <v>105</v>
      </c>
      <c r="K162" s="23"/>
      <c r="L162" s="23" t="str">
        <f>"170,0"</f>
        <v>170,0</v>
      </c>
      <c r="M162" s="23" t="str">
        <f>"109,0890"</f>
        <v>109,0890</v>
      </c>
      <c r="N162" s="27" t="s">
        <v>873</v>
      </c>
    </row>
    <row r="163" spans="1:14" ht="12.75">
      <c r="A163" s="23" t="s">
        <v>136</v>
      </c>
      <c r="B163" s="20" t="s">
        <v>874</v>
      </c>
      <c r="C163" s="20" t="s">
        <v>875</v>
      </c>
      <c r="D163" s="20" t="s">
        <v>172</v>
      </c>
      <c r="E163" s="20" t="str">
        <f>"0,6384"</f>
        <v>0,6384</v>
      </c>
      <c r="F163" s="20" t="s">
        <v>15</v>
      </c>
      <c r="G163" s="20" t="s">
        <v>429</v>
      </c>
      <c r="H163" s="21" t="s">
        <v>101</v>
      </c>
      <c r="I163" s="22" t="s">
        <v>102</v>
      </c>
      <c r="J163" s="22" t="s">
        <v>102</v>
      </c>
      <c r="K163" s="23"/>
      <c r="L163" s="23" t="str">
        <f>"165,0"</f>
        <v>165,0</v>
      </c>
      <c r="M163" s="23" t="str">
        <f>"105,3360"</f>
        <v>105,3360</v>
      </c>
      <c r="N163" s="27" t="s">
        <v>430</v>
      </c>
    </row>
    <row r="164" spans="1:14" ht="12.75">
      <c r="A164" s="23" t="s">
        <v>139</v>
      </c>
      <c r="B164" s="20" t="s">
        <v>876</v>
      </c>
      <c r="C164" s="20" t="s">
        <v>877</v>
      </c>
      <c r="D164" s="20" t="s">
        <v>456</v>
      </c>
      <c r="E164" s="20" t="str">
        <f>"0,6459"</f>
        <v>0,6459</v>
      </c>
      <c r="F164" s="27" t="s">
        <v>252</v>
      </c>
      <c r="G164" s="20" t="s">
        <v>878</v>
      </c>
      <c r="H164" s="22" t="s">
        <v>147</v>
      </c>
      <c r="I164" s="21" t="s">
        <v>147</v>
      </c>
      <c r="J164" s="22" t="s">
        <v>201</v>
      </c>
      <c r="K164" s="23"/>
      <c r="L164" s="23" t="str">
        <f>"152,5"</f>
        <v>152,5</v>
      </c>
      <c r="M164" s="23" t="str">
        <f>"98,4998"</f>
        <v>98,4998</v>
      </c>
      <c r="N164" s="27" t="s">
        <v>37</v>
      </c>
    </row>
    <row r="165" spans="1:14" ht="12.75">
      <c r="A165" s="23" t="s">
        <v>142</v>
      </c>
      <c r="B165" s="20" t="s">
        <v>879</v>
      </c>
      <c r="C165" s="20" t="s">
        <v>880</v>
      </c>
      <c r="D165" s="20" t="s">
        <v>411</v>
      </c>
      <c r="E165" s="20" t="str">
        <f>"0,6444"</f>
        <v>0,6444</v>
      </c>
      <c r="F165" s="20" t="s">
        <v>15</v>
      </c>
      <c r="G165" s="20" t="s">
        <v>881</v>
      </c>
      <c r="H165" s="21" t="s">
        <v>59</v>
      </c>
      <c r="I165" s="22" t="s">
        <v>147</v>
      </c>
      <c r="J165" s="21" t="s">
        <v>147</v>
      </c>
      <c r="K165" s="23"/>
      <c r="L165" s="23" t="str">
        <f>"152,5"</f>
        <v>152,5</v>
      </c>
      <c r="M165" s="23" t="str">
        <f>"98,2710"</f>
        <v>98,2710</v>
      </c>
      <c r="N165" s="27" t="s">
        <v>37</v>
      </c>
    </row>
    <row r="166" spans="1:14" ht="12.75">
      <c r="A166" s="23" t="s">
        <v>427</v>
      </c>
      <c r="B166" s="20" t="s">
        <v>882</v>
      </c>
      <c r="C166" s="20" t="s">
        <v>883</v>
      </c>
      <c r="D166" s="20" t="s">
        <v>411</v>
      </c>
      <c r="E166" s="20" t="str">
        <f>"0,6444"</f>
        <v>0,6444</v>
      </c>
      <c r="F166" s="20" t="s">
        <v>15</v>
      </c>
      <c r="G166" s="20" t="s">
        <v>16</v>
      </c>
      <c r="H166" s="22" t="s">
        <v>59</v>
      </c>
      <c r="I166" s="21" t="s">
        <v>147</v>
      </c>
      <c r="J166" s="22" t="s">
        <v>92</v>
      </c>
      <c r="K166" s="23"/>
      <c r="L166" s="23" t="str">
        <f>"152,5"</f>
        <v>152,5</v>
      </c>
      <c r="M166" s="23" t="str">
        <f>"98,2710"</f>
        <v>98,2710</v>
      </c>
      <c r="N166" s="27" t="s">
        <v>37</v>
      </c>
    </row>
    <row r="167" spans="1:14" ht="12.75">
      <c r="A167" s="23" t="s">
        <v>731</v>
      </c>
      <c r="B167" s="20" t="s">
        <v>884</v>
      </c>
      <c r="C167" s="20" t="s">
        <v>885</v>
      </c>
      <c r="D167" s="20" t="s">
        <v>175</v>
      </c>
      <c r="E167" s="20" t="str">
        <f>"0,6402"</f>
        <v>0,6402</v>
      </c>
      <c r="F167" s="20" t="s">
        <v>15</v>
      </c>
      <c r="G167" s="27" t="s">
        <v>267</v>
      </c>
      <c r="H167" s="21" t="s">
        <v>59</v>
      </c>
      <c r="I167" s="22" t="s">
        <v>147</v>
      </c>
      <c r="J167" s="21" t="s">
        <v>147</v>
      </c>
      <c r="K167" s="23"/>
      <c r="L167" s="23" t="str">
        <f>"152,5"</f>
        <v>152,5</v>
      </c>
      <c r="M167" s="23" t="str">
        <f>"97,6305"</f>
        <v>97,6305</v>
      </c>
      <c r="N167" s="27" t="s">
        <v>37</v>
      </c>
    </row>
    <row r="168" spans="1:14" ht="12.75">
      <c r="A168" s="23" t="s">
        <v>736</v>
      </c>
      <c r="B168" s="20" t="s">
        <v>886</v>
      </c>
      <c r="C168" s="20" t="s">
        <v>887</v>
      </c>
      <c r="D168" s="20" t="s">
        <v>175</v>
      </c>
      <c r="E168" s="20" t="str">
        <f>"0,6402"</f>
        <v>0,6402</v>
      </c>
      <c r="F168" s="20" t="s">
        <v>15</v>
      </c>
      <c r="G168" s="20" t="s">
        <v>16</v>
      </c>
      <c r="H168" s="21" t="s">
        <v>59</v>
      </c>
      <c r="I168" s="22" t="s">
        <v>147</v>
      </c>
      <c r="J168" s="22" t="s">
        <v>147</v>
      </c>
      <c r="K168" s="23"/>
      <c r="L168" s="23" t="str">
        <f>"145,0"</f>
        <v>145,0</v>
      </c>
      <c r="M168" s="23" t="str">
        <f>"92,8290"</f>
        <v>92,8290</v>
      </c>
      <c r="N168" s="27" t="s">
        <v>37</v>
      </c>
    </row>
    <row r="169" spans="1:14" ht="12.75">
      <c r="A169" s="23" t="s">
        <v>741</v>
      </c>
      <c r="B169" s="20" t="s">
        <v>888</v>
      </c>
      <c r="C169" s="20" t="s">
        <v>889</v>
      </c>
      <c r="D169" s="20" t="s">
        <v>168</v>
      </c>
      <c r="E169" s="20" t="str">
        <f>"0,6532"</f>
        <v>0,6532</v>
      </c>
      <c r="F169" s="20" t="s">
        <v>15</v>
      </c>
      <c r="G169" s="20" t="s">
        <v>890</v>
      </c>
      <c r="H169" s="22" t="s">
        <v>111</v>
      </c>
      <c r="I169" s="21" t="s">
        <v>111</v>
      </c>
      <c r="J169" s="21" t="s">
        <v>119</v>
      </c>
      <c r="K169" s="23"/>
      <c r="L169" s="23" t="str">
        <f>"137,5"</f>
        <v>137,5</v>
      </c>
      <c r="M169" s="23" t="str">
        <f>"89,8150"</f>
        <v>89,8150</v>
      </c>
      <c r="N169" s="27" t="s">
        <v>37</v>
      </c>
    </row>
    <row r="170" spans="1:14" ht="12.75">
      <c r="A170" s="23" t="s">
        <v>744</v>
      </c>
      <c r="B170" s="20" t="s">
        <v>891</v>
      </c>
      <c r="C170" s="20" t="s">
        <v>892</v>
      </c>
      <c r="D170" s="20" t="s">
        <v>456</v>
      </c>
      <c r="E170" s="20" t="str">
        <f>"0,6459"</f>
        <v>0,6459</v>
      </c>
      <c r="F170" s="20" t="s">
        <v>15</v>
      </c>
      <c r="G170" s="20" t="s">
        <v>54</v>
      </c>
      <c r="H170" s="21" t="s">
        <v>111</v>
      </c>
      <c r="I170" s="21" t="s">
        <v>119</v>
      </c>
      <c r="J170" s="22" t="s">
        <v>69</v>
      </c>
      <c r="K170" s="23"/>
      <c r="L170" s="23" t="str">
        <f>"137,5"</f>
        <v>137,5</v>
      </c>
      <c r="M170" s="23" t="str">
        <f>"88,8113"</f>
        <v>88,8113</v>
      </c>
      <c r="N170" s="27" t="s">
        <v>37</v>
      </c>
    </row>
    <row r="171" spans="1:14" ht="12.75">
      <c r="A171" s="23" t="s">
        <v>747</v>
      </c>
      <c r="B171" s="20" t="s">
        <v>893</v>
      </c>
      <c r="C171" s="20" t="s">
        <v>894</v>
      </c>
      <c r="D171" s="20" t="s">
        <v>369</v>
      </c>
      <c r="E171" s="20" t="str">
        <f>"0,6455"</f>
        <v>0,6455</v>
      </c>
      <c r="F171" s="20" t="s">
        <v>15</v>
      </c>
      <c r="G171" s="20" t="s">
        <v>16</v>
      </c>
      <c r="H171" s="21" t="s">
        <v>119</v>
      </c>
      <c r="I171" s="22" t="s">
        <v>59</v>
      </c>
      <c r="J171" s="22" t="s">
        <v>59</v>
      </c>
      <c r="K171" s="23"/>
      <c r="L171" s="23" t="str">
        <f>"137,5"</f>
        <v>137,5</v>
      </c>
      <c r="M171" s="23" t="str">
        <f>"88,7563"</f>
        <v>88,7563</v>
      </c>
      <c r="N171" s="27" t="s">
        <v>895</v>
      </c>
    </row>
    <row r="172" spans="1:14" ht="12.75">
      <c r="A172" s="23" t="s">
        <v>750</v>
      </c>
      <c r="B172" s="20" t="s">
        <v>896</v>
      </c>
      <c r="C172" s="20" t="s">
        <v>897</v>
      </c>
      <c r="D172" s="20" t="s">
        <v>898</v>
      </c>
      <c r="E172" s="20" t="str">
        <f>"0,6601"</f>
        <v>0,6601</v>
      </c>
      <c r="F172" s="20" t="s">
        <v>15</v>
      </c>
      <c r="G172" s="20" t="s">
        <v>16</v>
      </c>
      <c r="H172" s="21" t="s">
        <v>57</v>
      </c>
      <c r="I172" s="21" t="s">
        <v>68</v>
      </c>
      <c r="J172" s="22" t="s">
        <v>58</v>
      </c>
      <c r="K172" s="23"/>
      <c r="L172" s="23" t="str">
        <f>"135,0"</f>
        <v>135,0</v>
      </c>
      <c r="M172" s="23" t="str">
        <f>"89,1135"</f>
        <v>89,1135</v>
      </c>
      <c r="N172" s="27" t="s">
        <v>37</v>
      </c>
    </row>
    <row r="173" spans="1:14" ht="12.75">
      <c r="A173" s="23" t="s">
        <v>753</v>
      </c>
      <c r="B173" s="20" t="s">
        <v>899</v>
      </c>
      <c r="C173" s="20" t="s">
        <v>900</v>
      </c>
      <c r="D173" s="20" t="s">
        <v>901</v>
      </c>
      <c r="E173" s="20" t="str">
        <f>"0,6495"</f>
        <v>0,6495</v>
      </c>
      <c r="F173" s="20" t="s">
        <v>15</v>
      </c>
      <c r="G173" s="27" t="s">
        <v>902</v>
      </c>
      <c r="H173" s="22" t="s">
        <v>111</v>
      </c>
      <c r="I173" s="22" t="s">
        <v>68</v>
      </c>
      <c r="J173" s="21" t="s">
        <v>68</v>
      </c>
      <c r="K173" s="23"/>
      <c r="L173" s="23" t="str">
        <f>"135,0"</f>
        <v>135,0</v>
      </c>
      <c r="M173" s="23" t="str">
        <f>"87,6825"</f>
        <v>87,6825</v>
      </c>
      <c r="N173" s="27" t="s">
        <v>903</v>
      </c>
    </row>
    <row r="174" spans="1:14" ht="12.75">
      <c r="A174" s="23" t="s">
        <v>904</v>
      </c>
      <c r="B174" s="20" t="s">
        <v>905</v>
      </c>
      <c r="C174" s="20" t="s">
        <v>906</v>
      </c>
      <c r="D174" s="20" t="s">
        <v>274</v>
      </c>
      <c r="E174" s="20" t="str">
        <f>"0,6428"</f>
        <v>0,6428</v>
      </c>
      <c r="F174" s="27" t="s">
        <v>15</v>
      </c>
      <c r="G174" s="20" t="s">
        <v>907</v>
      </c>
      <c r="H174" s="21" t="s">
        <v>111</v>
      </c>
      <c r="I174" s="22" t="s">
        <v>69</v>
      </c>
      <c r="J174" s="22" t="s">
        <v>69</v>
      </c>
      <c r="K174" s="23"/>
      <c r="L174" s="23" t="str">
        <f>"132,5"</f>
        <v>132,5</v>
      </c>
      <c r="M174" s="23" t="str">
        <f>"85,1710"</f>
        <v>85,1710</v>
      </c>
      <c r="N174" s="27" t="s">
        <v>908</v>
      </c>
    </row>
    <row r="175" spans="1:14" ht="12.75">
      <c r="A175" s="23" t="s">
        <v>909</v>
      </c>
      <c r="B175" s="20" t="s">
        <v>910</v>
      </c>
      <c r="C175" s="20" t="s">
        <v>911</v>
      </c>
      <c r="D175" s="20" t="s">
        <v>912</v>
      </c>
      <c r="E175" s="20" t="str">
        <f>"0,6519"</f>
        <v>0,6519</v>
      </c>
      <c r="F175" s="27" t="s">
        <v>285</v>
      </c>
      <c r="G175" s="20" t="s">
        <v>16</v>
      </c>
      <c r="H175" s="21" t="s">
        <v>82</v>
      </c>
      <c r="I175" s="22" t="s">
        <v>111</v>
      </c>
      <c r="J175" s="22" t="s">
        <v>68</v>
      </c>
      <c r="K175" s="23"/>
      <c r="L175" s="23" t="str">
        <f>"125,0"</f>
        <v>125,0</v>
      </c>
      <c r="M175" s="23" t="str">
        <f>"81,4875"</f>
        <v>81,4875</v>
      </c>
      <c r="N175" s="27" t="s">
        <v>37</v>
      </c>
    </row>
    <row r="176" spans="1:14" ht="12.75">
      <c r="A176" s="23" t="s">
        <v>913</v>
      </c>
      <c r="B176" s="20" t="s">
        <v>914</v>
      </c>
      <c r="C176" s="20" t="s">
        <v>915</v>
      </c>
      <c r="D176" s="20" t="s">
        <v>916</v>
      </c>
      <c r="E176" s="20" t="str">
        <f>"0,6491"</f>
        <v>0,6491</v>
      </c>
      <c r="F176" s="20" t="s">
        <v>15</v>
      </c>
      <c r="G176" s="20" t="s">
        <v>16</v>
      </c>
      <c r="H176" s="22" t="s">
        <v>64</v>
      </c>
      <c r="I176" s="21" t="s">
        <v>82</v>
      </c>
      <c r="J176" s="22" t="s">
        <v>57</v>
      </c>
      <c r="K176" s="23"/>
      <c r="L176" s="23" t="str">
        <f>"125,0"</f>
        <v>125,0</v>
      </c>
      <c r="M176" s="23" t="str">
        <f>"81,1375"</f>
        <v>81,1375</v>
      </c>
      <c r="N176" s="27" t="s">
        <v>37</v>
      </c>
    </row>
    <row r="177" spans="1:14" ht="12.75">
      <c r="A177" s="23" t="s">
        <v>917</v>
      </c>
      <c r="B177" s="20" t="s">
        <v>918</v>
      </c>
      <c r="C177" s="20" t="s">
        <v>919</v>
      </c>
      <c r="D177" s="20" t="s">
        <v>452</v>
      </c>
      <c r="E177" s="20" t="str">
        <f>"0,6487"</f>
        <v>0,6487</v>
      </c>
      <c r="F177" s="20" t="s">
        <v>15</v>
      </c>
      <c r="G177" s="20" t="s">
        <v>16</v>
      </c>
      <c r="H177" s="21" t="s">
        <v>64</v>
      </c>
      <c r="I177" s="22" t="s">
        <v>111</v>
      </c>
      <c r="J177" s="22" t="s">
        <v>111</v>
      </c>
      <c r="K177" s="23"/>
      <c r="L177" s="23" t="str">
        <f>"120,0"</f>
        <v>120,0</v>
      </c>
      <c r="M177" s="23" t="str">
        <f>"77,8440"</f>
        <v>77,8440</v>
      </c>
      <c r="N177" s="27" t="s">
        <v>920</v>
      </c>
    </row>
    <row r="178" spans="1:14" ht="12.75">
      <c r="A178" s="23" t="s">
        <v>13</v>
      </c>
      <c r="B178" s="20" t="s">
        <v>921</v>
      </c>
      <c r="C178" s="20" t="s">
        <v>922</v>
      </c>
      <c r="D178" s="20" t="s">
        <v>849</v>
      </c>
      <c r="E178" s="20" t="str">
        <f>"0,6507"</f>
        <v>0,6507</v>
      </c>
      <c r="F178" s="20" t="s">
        <v>15</v>
      </c>
      <c r="G178" s="20" t="s">
        <v>582</v>
      </c>
      <c r="H178" s="22" t="s">
        <v>102</v>
      </c>
      <c r="I178" s="22" t="s">
        <v>102</v>
      </c>
      <c r="J178" s="22" t="s">
        <v>131</v>
      </c>
      <c r="K178" s="23"/>
      <c r="L178" s="23" t="s">
        <v>23</v>
      </c>
      <c r="M178" s="23" t="str">
        <f>"0,0000"</f>
        <v>0,0000</v>
      </c>
      <c r="N178" s="27" t="s">
        <v>37</v>
      </c>
    </row>
    <row r="179" spans="1:14" ht="12.75">
      <c r="A179" s="23" t="s">
        <v>13</v>
      </c>
      <c r="B179" s="20" t="s">
        <v>923</v>
      </c>
      <c r="C179" s="20" t="s">
        <v>924</v>
      </c>
      <c r="D179" s="20" t="s">
        <v>925</v>
      </c>
      <c r="E179" s="20" t="str">
        <f>"0,6447"</f>
        <v>0,6447</v>
      </c>
      <c r="F179" s="20" t="s">
        <v>15</v>
      </c>
      <c r="G179" s="20" t="s">
        <v>347</v>
      </c>
      <c r="H179" s="22" t="s">
        <v>59</v>
      </c>
      <c r="I179" s="22" t="s">
        <v>147</v>
      </c>
      <c r="J179" s="22" t="s">
        <v>147</v>
      </c>
      <c r="K179" s="23"/>
      <c r="L179" s="23" t="s">
        <v>23</v>
      </c>
      <c r="M179" s="23" t="str">
        <f>"0,0000"</f>
        <v>0,0000</v>
      </c>
      <c r="N179" s="27" t="s">
        <v>37</v>
      </c>
    </row>
    <row r="180" spans="1:14" ht="12.75">
      <c r="A180" s="23" t="s">
        <v>24</v>
      </c>
      <c r="B180" s="20" t="s">
        <v>926</v>
      </c>
      <c r="C180" s="20" t="s">
        <v>927</v>
      </c>
      <c r="D180" s="20" t="s">
        <v>183</v>
      </c>
      <c r="E180" s="20" t="str">
        <f>"0,6424"</f>
        <v>0,6424</v>
      </c>
      <c r="F180" s="27" t="s">
        <v>270</v>
      </c>
      <c r="G180" s="20" t="s">
        <v>271</v>
      </c>
      <c r="H180" s="21" t="s">
        <v>101</v>
      </c>
      <c r="I180" s="21" t="s">
        <v>102</v>
      </c>
      <c r="J180" s="21" t="s">
        <v>189</v>
      </c>
      <c r="K180" s="23"/>
      <c r="L180" s="23" t="str">
        <f>"177,5"</f>
        <v>177,5</v>
      </c>
      <c r="M180" s="23" t="str">
        <f>"119,0431"</f>
        <v>119,0431</v>
      </c>
      <c r="N180" s="27" t="s">
        <v>37</v>
      </c>
    </row>
    <row r="181" spans="1:14" ht="12.75">
      <c r="A181" s="23" t="s">
        <v>38</v>
      </c>
      <c r="B181" s="20" t="s">
        <v>871</v>
      </c>
      <c r="C181" s="20" t="s">
        <v>928</v>
      </c>
      <c r="D181" s="20" t="s">
        <v>179</v>
      </c>
      <c r="E181" s="20" t="str">
        <f>"0,6417"</f>
        <v>0,6417</v>
      </c>
      <c r="F181" s="20" t="s">
        <v>15</v>
      </c>
      <c r="G181" s="20" t="s">
        <v>310</v>
      </c>
      <c r="H181" s="21" t="s">
        <v>104</v>
      </c>
      <c r="I181" s="22" t="s">
        <v>105</v>
      </c>
      <c r="J181" s="21" t="s">
        <v>105</v>
      </c>
      <c r="K181" s="23"/>
      <c r="L181" s="23" t="str">
        <f>"170,0"</f>
        <v>170,0</v>
      </c>
      <c r="M181" s="23" t="str">
        <f>"112,1435"</f>
        <v>112,1435</v>
      </c>
      <c r="N181" s="27" t="s">
        <v>873</v>
      </c>
    </row>
    <row r="182" spans="1:14" ht="12.75">
      <c r="A182" s="23" t="s">
        <v>72</v>
      </c>
      <c r="B182" s="20" t="s">
        <v>929</v>
      </c>
      <c r="C182" s="20" t="s">
        <v>930</v>
      </c>
      <c r="D182" s="20" t="s">
        <v>175</v>
      </c>
      <c r="E182" s="20" t="str">
        <f>"0,6402"</f>
        <v>0,6402</v>
      </c>
      <c r="F182" s="20" t="s">
        <v>15</v>
      </c>
      <c r="G182" s="27" t="s">
        <v>931</v>
      </c>
      <c r="H182" s="21" t="s">
        <v>104</v>
      </c>
      <c r="I182" s="22" t="s">
        <v>105</v>
      </c>
      <c r="J182" s="21" t="s">
        <v>105</v>
      </c>
      <c r="K182" s="23"/>
      <c r="L182" s="23" t="str">
        <f>"170,0"</f>
        <v>170,0</v>
      </c>
      <c r="M182" s="23" t="str">
        <f>"117,3231"</f>
        <v>117,3231</v>
      </c>
      <c r="N182" s="27" t="s">
        <v>37</v>
      </c>
    </row>
    <row r="183" spans="1:14" ht="12.75">
      <c r="A183" s="23" t="s">
        <v>74</v>
      </c>
      <c r="B183" s="20" t="s">
        <v>932</v>
      </c>
      <c r="C183" s="20" t="s">
        <v>933</v>
      </c>
      <c r="D183" s="20" t="s">
        <v>275</v>
      </c>
      <c r="E183" s="20" t="str">
        <f>"0,6413"</f>
        <v>0,6413</v>
      </c>
      <c r="F183" s="20" t="s">
        <v>15</v>
      </c>
      <c r="G183" s="20" t="s">
        <v>16</v>
      </c>
      <c r="H183" s="22" t="s">
        <v>69</v>
      </c>
      <c r="I183" s="22" t="s">
        <v>59</v>
      </c>
      <c r="J183" s="21" t="s">
        <v>59</v>
      </c>
      <c r="K183" s="23"/>
      <c r="L183" s="23" t="str">
        <f>"145,0"</f>
        <v>145,0</v>
      </c>
      <c r="M183" s="23" t="str">
        <f>"100,2416"</f>
        <v>100,2416</v>
      </c>
      <c r="N183" s="27" t="s">
        <v>934</v>
      </c>
    </row>
    <row r="184" spans="1:14" ht="12.75">
      <c r="A184" s="23" t="s">
        <v>85</v>
      </c>
      <c r="B184" s="20" t="s">
        <v>935</v>
      </c>
      <c r="C184" s="20" t="s">
        <v>936</v>
      </c>
      <c r="D184" s="20" t="s">
        <v>937</v>
      </c>
      <c r="E184" s="20" t="str">
        <f>"0,6432"</f>
        <v>0,6432</v>
      </c>
      <c r="F184" s="20" t="s">
        <v>15</v>
      </c>
      <c r="G184" s="20" t="s">
        <v>596</v>
      </c>
      <c r="H184" s="21" t="s">
        <v>69</v>
      </c>
      <c r="I184" s="22" t="s">
        <v>253</v>
      </c>
      <c r="J184" s="22" t="s">
        <v>253</v>
      </c>
      <c r="K184" s="23"/>
      <c r="L184" s="23" t="str">
        <f>"142,5"</f>
        <v>142,5</v>
      </c>
      <c r="M184" s="23" t="str">
        <f>"97,1554"</f>
        <v>97,1554</v>
      </c>
      <c r="N184" s="27" t="s">
        <v>37</v>
      </c>
    </row>
    <row r="185" spans="1:14" ht="12.75">
      <c r="A185" s="23" t="s">
        <v>136</v>
      </c>
      <c r="B185" s="20" t="s">
        <v>938</v>
      </c>
      <c r="C185" s="20" t="s">
        <v>939</v>
      </c>
      <c r="D185" s="20" t="s">
        <v>940</v>
      </c>
      <c r="E185" s="20" t="str">
        <f>"0,6483"</f>
        <v>0,6483</v>
      </c>
      <c r="F185" s="20" t="s">
        <v>15</v>
      </c>
      <c r="G185" s="20" t="s">
        <v>16</v>
      </c>
      <c r="H185" s="21" t="s">
        <v>64</v>
      </c>
      <c r="I185" s="21" t="s">
        <v>941</v>
      </c>
      <c r="J185" s="22" t="s">
        <v>111</v>
      </c>
      <c r="K185" s="23"/>
      <c r="L185" s="23" t="str">
        <f>"127,5"</f>
        <v>127,5</v>
      </c>
      <c r="M185" s="23" t="str">
        <f>"83,8155"</f>
        <v>83,8155</v>
      </c>
      <c r="N185" s="27" t="s">
        <v>37</v>
      </c>
    </row>
    <row r="186" spans="1:14" ht="12.75">
      <c r="A186" s="23" t="s">
        <v>24</v>
      </c>
      <c r="B186" s="20" t="s">
        <v>942</v>
      </c>
      <c r="C186" s="20" t="s">
        <v>943</v>
      </c>
      <c r="D186" s="20" t="s">
        <v>161</v>
      </c>
      <c r="E186" s="20" t="str">
        <f>"0,6421"</f>
        <v>0,6421</v>
      </c>
      <c r="F186" s="27" t="s">
        <v>115</v>
      </c>
      <c r="G186" s="27" t="s">
        <v>418</v>
      </c>
      <c r="H186" s="21" t="s">
        <v>57</v>
      </c>
      <c r="I186" s="21" t="s">
        <v>944</v>
      </c>
      <c r="J186" s="22" t="s">
        <v>68</v>
      </c>
      <c r="K186" s="23"/>
      <c r="L186" s="23" t="s">
        <v>944</v>
      </c>
      <c r="M186" s="23" t="str">
        <f>"125,0650"</f>
        <v>125,0650</v>
      </c>
      <c r="N186" s="27" t="s">
        <v>37</v>
      </c>
    </row>
    <row r="187" spans="1:14" ht="12.75">
      <c r="A187" s="18" t="s">
        <v>38</v>
      </c>
      <c r="B187" s="16" t="s">
        <v>945</v>
      </c>
      <c r="C187" s="16" t="s">
        <v>946</v>
      </c>
      <c r="D187" s="16" t="s">
        <v>947</v>
      </c>
      <c r="E187" s="16" t="str">
        <f>"0,6579"</f>
        <v>0,6579</v>
      </c>
      <c r="F187" s="16" t="s">
        <v>15</v>
      </c>
      <c r="G187" s="16" t="s">
        <v>568</v>
      </c>
      <c r="H187" s="17" t="s">
        <v>18</v>
      </c>
      <c r="I187" s="17" t="s">
        <v>61</v>
      </c>
      <c r="J187" s="19" t="s">
        <v>33</v>
      </c>
      <c r="K187" s="18"/>
      <c r="L187" s="18" t="str">
        <f>"100,0"</f>
        <v>100,0</v>
      </c>
      <c r="M187" s="18" t="str">
        <f>"90,7902"</f>
        <v>90,7902</v>
      </c>
      <c r="N187" s="28" t="s">
        <v>948</v>
      </c>
    </row>
    <row r="188" ht="12.75">
      <c r="B188" s="6" t="s">
        <v>31</v>
      </c>
    </row>
    <row r="189" spans="1:13" ht="15">
      <c r="A189" s="43" t="s">
        <v>184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4" ht="12.75">
      <c r="A190" s="15" t="s">
        <v>24</v>
      </c>
      <c r="B190" s="12" t="s">
        <v>949</v>
      </c>
      <c r="C190" s="12" t="s">
        <v>950</v>
      </c>
      <c r="D190" s="12" t="s">
        <v>951</v>
      </c>
      <c r="E190" s="12" t="str">
        <f>"0,6269"</f>
        <v>0,6269</v>
      </c>
      <c r="F190" s="12" t="s">
        <v>15</v>
      </c>
      <c r="G190" s="12" t="s">
        <v>16</v>
      </c>
      <c r="H190" s="13" t="s">
        <v>82</v>
      </c>
      <c r="I190" s="14" t="s">
        <v>111</v>
      </c>
      <c r="J190" s="13" t="s">
        <v>111</v>
      </c>
      <c r="K190" s="15"/>
      <c r="L190" s="15" t="str">
        <f>"132,5"</f>
        <v>132,5</v>
      </c>
      <c r="M190" s="15" t="str">
        <f>"83,0643"</f>
        <v>83,0643</v>
      </c>
      <c r="N190" s="26" t="s">
        <v>952</v>
      </c>
    </row>
    <row r="191" spans="1:14" ht="12.75">
      <c r="A191" s="23" t="s">
        <v>24</v>
      </c>
      <c r="B191" s="20" t="s">
        <v>953</v>
      </c>
      <c r="C191" s="20" t="s">
        <v>954</v>
      </c>
      <c r="D191" s="20" t="s">
        <v>188</v>
      </c>
      <c r="E191" s="20" t="str">
        <f>"0,6116"</f>
        <v>0,6116</v>
      </c>
      <c r="F191" s="20" t="s">
        <v>15</v>
      </c>
      <c r="G191" s="20" t="s">
        <v>16</v>
      </c>
      <c r="H191" s="22" t="s">
        <v>59</v>
      </c>
      <c r="I191" s="21" t="s">
        <v>92</v>
      </c>
      <c r="J191" s="22" t="s">
        <v>104</v>
      </c>
      <c r="K191" s="23"/>
      <c r="L191" s="23" t="str">
        <f>"155,0"</f>
        <v>155,0</v>
      </c>
      <c r="M191" s="23" t="str">
        <f>"94,7980"</f>
        <v>94,7980</v>
      </c>
      <c r="N191" s="27" t="s">
        <v>37</v>
      </c>
    </row>
    <row r="192" spans="1:14" ht="12.75">
      <c r="A192" s="23" t="s">
        <v>38</v>
      </c>
      <c r="B192" s="20" t="s">
        <v>955</v>
      </c>
      <c r="C192" s="20" t="s">
        <v>956</v>
      </c>
      <c r="D192" s="20" t="s">
        <v>372</v>
      </c>
      <c r="E192" s="20" t="str">
        <f>"0,6177"</f>
        <v>0,6177</v>
      </c>
      <c r="F192" s="20" t="s">
        <v>15</v>
      </c>
      <c r="G192" s="20" t="s">
        <v>722</v>
      </c>
      <c r="H192" s="21" t="s">
        <v>59</v>
      </c>
      <c r="I192" s="22" t="s">
        <v>80</v>
      </c>
      <c r="J192" s="21" t="s">
        <v>147</v>
      </c>
      <c r="K192" s="23"/>
      <c r="L192" s="23" t="str">
        <f>"152,5"</f>
        <v>152,5</v>
      </c>
      <c r="M192" s="23" t="str">
        <f>"94,1992"</f>
        <v>94,1992</v>
      </c>
      <c r="N192" s="27" t="s">
        <v>37</v>
      </c>
    </row>
    <row r="193" spans="1:14" ht="12.75">
      <c r="A193" s="23" t="s">
        <v>72</v>
      </c>
      <c r="B193" s="20" t="s">
        <v>957</v>
      </c>
      <c r="C193" s="20" t="s">
        <v>958</v>
      </c>
      <c r="D193" s="20" t="s">
        <v>196</v>
      </c>
      <c r="E193" s="20" t="str">
        <f>"0,6183"</f>
        <v>0,6183</v>
      </c>
      <c r="F193" s="20" t="s">
        <v>15</v>
      </c>
      <c r="G193" s="20" t="s">
        <v>16</v>
      </c>
      <c r="H193" s="22" t="s">
        <v>59</v>
      </c>
      <c r="I193" s="21" t="s">
        <v>59</v>
      </c>
      <c r="J193" s="21" t="s">
        <v>80</v>
      </c>
      <c r="K193" s="23"/>
      <c r="L193" s="23" t="str">
        <f>"150,0"</f>
        <v>150,0</v>
      </c>
      <c r="M193" s="23" t="str">
        <f>"92,7450"</f>
        <v>92,7450</v>
      </c>
      <c r="N193" s="27" t="s">
        <v>37</v>
      </c>
    </row>
    <row r="194" spans="1:14" ht="12.75">
      <c r="A194" s="23" t="s">
        <v>24</v>
      </c>
      <c r="B194" s="20" t="s">
        <v>959</v>
      </c>
      <c r="C194" s="20" t="s">
        <v>960</v>
      </c>
      <c r="D194" s="20" t="s">
        <v>463</v>
      </c>
      <c r="E194" s="20" t="str">
        <f>"0,6136"</f>
        <v>0,6136</v>
      </c>
      <c r="F194" s="20" t="s">
        <v>15</v>
      </c>
      <c r="G194" s="20" t="s">
        <v>422</v>
      </c>
      <c r="H194" s="21" t="s">
        <v>116</v>
      </c>
      <c r="I194" s="22" t="s">
        <v>146</v>
      </c>
      <c r="J194" s="22" t="s">
        <v>146</v>
      </c>
      <c r="K194" s="23"/>
      <c r="L194" s="23" t="str">
        <f>"200,0"</f>
        <v>200,0</v>
      </c>
      <c r="M194" s="23" t="str">
        <f>"122,7200"</f>
        <v>122,7200</v>
      </c>
      <c r="N194" s="27" t="s">
        <v>961</v>
      </c>
    </row>
    <row r="195" spans="1:14" ht="12.75">
      <c r="A195" s="23" t="s">
        <v>38</v>
      </c>
      <c r="B195" s="20" t="s">
        <v>457</v>
      </c>
      <c r="C195" s="20" t="s">
        <v>458</v>
      </c>
      <c r="D195" s="20" t="s">
        <v>459</v>
      </c>
      <c r="E195" s="20" t="str">
        <f>"0,6305"</f>
        <v>0,6305</v>
      </c>
      <c r="F195" s="20" t="s">
        <v>15</v>
      </c>
      <c r="G195" s="20" t="s">
        <v>209</v>
      </c>
      <c r="H195" s="21" t="s">
        <v>131</v>
      </c>
      <c r="I195" s="21" t="s">
        <v>132</v>
      </c>
      <c r="J195" s="22" t="s">
        <v>124</v>
      </c>
      <c r="K195" s="23"/>
      <c r="L195" s="23" t="str">
        <f>"190,0"</f>
        <v>190,0</v>
      </c>
      <c r="M195" s="23" t="str">
        <f>"119,7950"</f>
        <v>119,7950</v>
      </c>
      <c r="N195" s="27" t="s">
        <v>460</v>
      </c>
    </row>
    <row r="196" spans="1:14" ht="12.75">
      <c r="A196" s="23" t="s">
        <v>72</v>
      </c>
      <c r="B196" s="20" t="s">
        <v>464</v>
      </c>
      <c r="C196" s="20" t="s">
        <v>962</v>
      </c>
      <c r="D196" s="20" t="s">
        <v>204</v>
      </c>
      <c r="E196" s="20" t="str">
        <f>"0,6147"</f>
        <v>0,6147</v>
      </c>
      <c r="F196" s="27" t="s">
        <v>335</v>
      </c>
      <c r="G196" s="20" t="s">
        <v>336</v>
      </c>
      <c r="H196" s="21" t="s">
        <v>132</v>
      </c>
      <c r="I196" s="22" t="s">
        <v>124</v>
      </c>
      <c r="J196" s="22" t="s">
        <v>124</v>
      </c>
      <c r="K196" s="23"/>
      <c r="L196" s="23" t="str">
        <f>"190,0"</f>
        <v>190,0</v>
      </c>
      <c r="M196" s="23" t="str">
        <f>"116,7930"</f>
        <v>116,7930</v>
      </c>
      <c r="N196" s="27" t="s">
        <v>37</v>
      </c>
    </row>
    <row r="197" spans="1:14" ht="12.75">
      <c r="A197" s="23" t="s">
        <v>74</v>
      </c>
      <c r="B197" s="20" t="s">
        <v>963</v>
      </c>
      <c r="C197" s="20" t="s">
        <v>964</v>
      </c>
      <c r="D197" s="20" t="s">
        <v>951</v>
      </c>
      <c r="E197" s="20" t="str">
        <f>"0,6269"</f>
        <v>0,6269</v>
      </c>
      <c r="F197" s="20" t="s">
        <v>15</v>
      </c>
      <c r="G197" s="20" t="s">
        <v>965</v>
      </c>
      <c r="H197" s="21" t="s">
        <v>205</v>
      </c>
      <c r="I197" s="21" t="s">
        <v>105</v>
      </c>
      <c r="J197" s="21" t="s">
        <v>189</v>
      </c>
      <c r="K197" s="23"/>
      <c r="L197" s="23" t="str">
        <f>"177,5"</f>
        <v>177,5</v>
      </c>
      <c r="M197" s="23" t="str">
        <f>"111,2748"</f>
        <v>111,2748</v>
      </c>
      <c r="N197" s="27" t="s">
        <v>37</v>
      </c>
    </row>
    <row r="198" spans="1:14" ht="12.75">
      <c r="A198" s="23" t="s">
        <v>85</v>
      </c>
      <c r="B198" s="20" t="s">
        <v>966</v>
      </c>
      <c r="C198" s="20" t="s">
        <v>967</v>
      </c>
      <c r="D198" s="20" t="s">
        <v>200</v>
      </c>
      <c r="E198" s="20" t="str">
        <f>"0,6144"</f>
        <v>0,6144</v>
      </c>
      <c r="F198" s="20" t="s">
        <v>15</v>
      </c>
      <c r="G198" s="20" t="s">
        <v>968</v>
      </c>
      <c r="H198" s="21" t="s">
        <v>205</v>
      </c>
      <c r="I198" s="21" t="s">
        <v>194</v>
      </c>
      <c r="J198" s="21" t="s">
        <v>189</v>
      </c>
      <c r="K198" s="23"/>
      <c r="L198" s="23" t="str">
        <f>"177,5"</f>
        <v>177,5</v>
      </c>
      <c r="M198" s="23" t="str">
        <f>"109,0560"</f>
        <v>109,0560</v>
      </c>
      <c r="N198" s="27" t="s">
        <v>37</v>
      </c>
    </row>
    <row r="199" spans="1:14" ht="12.75">
      <c r="A199" s="23" t="s">
        <v>136</v>
      </c>
      <c r="B199" s="20" t="s">
        <v>969</v>
      </c>
      <c r="C199" s="20" t="s">
        <v>970</v>
      </c>
      <c r="D199" s="20" t="s">
        <v>185</v>
      </c>
      <c r="E199" s="20" t="str">
        <f>"0,6126"</f>
        <v>0,6126</v>
      </c>
      <c r="F199" s="20" t="s">
        <v>15</v>
      </c>
      <c r="G199" s="20" t="s">
        <v>16</v>
      </c>
      <c r="H199" s="22" t="s">
        <v>102</v>
      </c>
      <c r="I199" s="21" t="s">
        <v>102</v>
      </c>
      <c r="J199" s="22" t="s">
        <v>123</v>
      </c>
      <c r="K199" s="23"/>
      <c r="L199" s="23" t="str">
        <f>"175,0"</f>
        <v>175,0</v>
      </c>
      <c r="M199" s="23" t="str">
        <f>"107,2050"</f>
        <v>107,2050</v>
      </c>
      <c r="N199" s="27" t="s">
        <v>37</v>
      </c>
    </row>
    <row r="200" spans="1:14" ht="12.75">
      <c r="A200" s="23" t="s">
        <v>139</v>
      </c>
      <c r="B200" s="20" t="s">
        <v>971</v>
      </c>
      <c r="C200" s="20" t="s">
        <v>972</v>
      </c>
      <c r="D200" s="20" t="s">
        <v>973</v>
      </c>
      <c r="E200" s="20" t="str">
        <f>"0,6325"</f>
        <v>0,6325</v>
      </c>
      <c r="F200" s="20" t="s">
        <v>15</v>
      </c>
      <c r="G200" s="20" t="s">
        <v>16</v>
      </c>
      <c r="H200" s="22" t="s">
        <v>104</v>
      </c>
      <c r="I200" s="21" t="s">
        <v>101</v>
      </c>
      <c r="J200" s="21" t="s">
        <v>105</v>
      </c>
      <c r="K200" s="23"/>
      <c r="L200" s="23" t="str">
        <f>"170,0"</f>
        <v>170,0</v>
      </c>
      <c r="M200" s="23" t="str">
        <f>"107,5250"</f>
        <v>107,5250</v>
      </c>
      <c r="N200" s="27" t="s">
        <v>974</v>
      </c>
    </row>
    <row r="201" spans="1:14" ht="12.75">
      <c r="A201" s="23" t="s">
        <v>142</v>
      </c>
      <c r="B201" s="20" t="s">
        <v>975</v>
      </c>
      <c r="C201" s="20" t="s">
        <v>976</v>
      </c>
      <c r="D201" s="20" t="s">
        <v>426</v>
      </c>
      <c r="E201" s="20" t="str">
        <f>"0,6161"</f>
        <v>0,6161</v>
      </c>
      <c r="F201" s="27" t="s">
        <v>335</v>
      </c>
      <c r="G201" s="20" t="s">
        <v>336</v>
      </c>
      <c r="H201" s="21" t="s">
        <v>205</v>
      </c>
      <c r="I201" s="21" t="s">
        <v>101</v>
      </c>
      <c r="J201" s="21" t="s">
        <v>105</v>
      </c>
      <c r="K201" s="23"/>
      <c r="L201" s="23" t="str">
        <f>"170,0"</f>
        <v>170,0</v>
      </c>
      <c r="M201" s="23" t="str">
        <f>"104,7370"</f>
        <v>104,7370</v>
      </c>
      <c r="N201" s="27" t="s">
        <v>37</v>
      </c>
    </row>
    <row r="202" spans="1:14" ht="12.75">
      <c r="A202" s="23" t="s">
        <v>427</v>
      </c>
      <c r="B202" s="20" t="s">
        <v>977</v>
      </c>
      <c r="C202" s="20" t="s">
        <v>978</v>
      </c>
      <c r="D202" s="20" t="s">
        <v>979</v>
      </c>
      <c r="E202" s="20" t="str">
        <f>"0,6217"</f>
        <v>0,6217</v>
      </c>
      <c r="F202" s="20" t="s">
        <v>15</v>
      </c>
      <c r="G202" s="20" t="s">
        <v>860</v>
      </c>
      <c r="H202" s="22" t="s">
        <v>92</v>
      </c>
      <c r="I202" s="21" t="s">
        <v>205</v>
      </c>
      <c r="J202" s="22" t="s">
        <v>101</v>
      </c>
      <c r="K202" s="23"/>
      <c r="L202" s="23" t="str">
        <f aca="true" t="shared" si="0" ref="L202:L208">"162,5"</f>
        <v>162,5</v>
      </c>
      <c r="M202" s="23" t="str">
        <f>"101,0262"</f>
        <v>101,0262</v>
      </c>
      <c r="N202" s="27" t="s">
        <v>37</v>
      </c>
    </row>
    <row r="203" spans="1:14" ht="12.75">
      <c r="A203" s="23" t="s">
        <v>731</v>
      </c>
      <c r="B203" s="20" t="s">
        <v>980</v>
      </c>
      <c r="C203" s="20" t="s">
        <v>981</v>
      </c>
      <c r="D203" s="20" t="s">
        <v>293</v>
      </c>
      <c r="E203" s="20" t="str">
        <f>"0,6200"</f>
        <v>0,6200</v>
      </c>
      <c r="F203" s="27" t="s">
        <v>165</v>
      </c>
      <c r="G203" s="20" t="s">
        <v>982</v>
      </c>
      <c r="H203" s="21" t="s">
        <v>92</v>
      </c>
      <c r="I203" s="21" t="s">
        <v>205</v>
      </c>
      <c r="J203" s="22" t="s">
        <v>105</v>
      </c>
      <c r="K203" s="23"/>
      <c r="L203" s="23" t="str">
        <f t="shared" si="0"/>
        <v>162,5</v>
      </c>
      <c r="M203" s="23" t="str">
        <f>"100,7500"</f>
        <v>100,7500</v>
      </c>
      <c r="N203" s="27" t="s">
        <v>983</v>
      </c>
    </row>
    <row r="204" spans="1:14" ht="12.75">
      <c r="A204" s="23" t="s">
        <v>736</v>
      </c>
      <c r="B204" s="20" t="s">
        <v>984</v>
      </c>
      <c r="C204" s="20" t="s">
        <v>985</v>
      </c>
      <c r="D204" s="20" t="s">
        <v>986</v>
      </c>
      <c r="E204" s="20" t="str">
        <f>"0,6163"</f>
        <v>0,6163</v>
      </c>
      <c r="F204" s="20" t="s">
        <v>15</v>
      </c>
      <c r="G204" s="20" t="s">
        <v>16</v>
      </c>
      <c r="H204" s="21" t="s">
        <v>205</v>
      </c>
      <c r="I204" s="22" t="s">
        <v>105</v>
      </c>
      <c r="J204" s="22" t="s">
        <v>102</v>
      </c>
      <c r="K204" s="23"/>
      <c r="L204" s="23" t="str">
        <f t="shared" si="0"/>
        <v>162,5</v>
      </c>
      <c r="M204" s="23" t="str">
        <f>"100,1487"</f>
        <v>100,1487</v>
      </c>
      <c r="N204" s="27" t="s">
        <v>37</v>
      </c>
    </row>
    <row r="205" spans="1:14" ht="12.75">
      <c r="A205" s="23" t="s">
        <v>741</v>
      </c>
      <c r="B205" s="20" t="s">
        <v>987</v>
      </c>
      <c r="C205" s="20" t="s">
        <v>312</v>
      </c>
      <c r="D205" s="20" t="s">
        <v>204</v>
      </c>
      <c r="E205" s="20" t="str">
        <f>"0,6147"</f>
        <v>0,6147</v>
      </c>
      <c r="F205" s="20" t="s">
        <v>15</v>
      </c>
      <c r="G205" s="20" t="s">
        <v>351</v>
      </c>
      <c r="H205" s="22" t="s">
        <v>205</v>
      </c>
      <c r="I205" s="21" t="s">
        <v>205</v>
      </c>
      <c r="J205" s="22" t="s">
        <v>105</v>
      </c>
      <c r="K205" s="23"/>
      <c r="L205" s="23" t="str">
        <f t="shared" si="0"/>
        <v>162,5</v>
      </c>
      <c r="M205" s="23" t="str">
        <f>"99,8888"</f>
        <v>99,8888</v>
      </c>
      <c r="N205" s="27" t="s">
        <v>988</v>
      </c>
    </row>
    <row r="206" spans="1:14" ht="12.75">
      <c r="A206" s="23" t="s">
        <v>744</v>
      </c>
      <c r="B206" s="20" t="s">
        <v>989</v>
      </c>
      <c r="C206" s="20" t="s">
        <v>129</v>
      </c>
      <c r="D206" s="20" t="s">
        <v>990</v>
      </c>
      <c r="E206" s="20" t="str">
        <f>"0,6123"</f>
        <v>0,6123</v>
      </c>
      <c r="F206" s="20" t="s">
        <v>15</v>
      </c>
      <c r="G206" s="27" t="s">
        <v>991</v>
      </c>
      <c r="H206" s="21" t="s">
        <v>104</v>
      </c>
      <c r="I206" s="21" t="s">
        <v>205</v>
      </c>
      <c r="J206" s="22" t="s">
        <v>101</v>
      </c>
      <c r="K206" s="23"/>
      <c r="L206" s="23" t="str">
        <f t="shared" si="0"/>
        <v>162,5</v>
      </c>
      <c r="M206" s="23" t="str">
        <f>"99,4987"</f>
        <v>99,4987</v>
      </c>
      <c r="N206" s="27" t="s">
        <v>37</v>
      </c>
    </row>
    <row r="207" spans="1:14" ht="12.75">
      <c r="A207" s="23" t="s">
        <v>747</v>
      </c>
      <c r="B207" s="20" t="s">
        <v>992</v>
      </c>
      <c r="C207" s="20" t="s">
        <v>993</v>
      </c>
      <c r="D207" s="20" t="s">
        <v>994</v>
      </c>
      <c r="E207" s="20" t="str">
        <f>"0,6118"</f>
        <v>0,6118</v>
      </c>
      <c r="F207" s="27" t="s">
        <v>285</v>
      </c>
      <c r="G207" s="20" t="s">
        <v>16</v>
      </c>
      <c r="H207" s="21" t="s">
        <v>205</v>
      </c>
      <c r="I207" s="22" t="s">
        <v>169</v>
      </c>
      <c r="J207" s="22" t="s">
        <v>169</v>
      </c>
      <c r="K207" s="23"/>
      <c r="L207" s="23" t="str">
        <f t="shared" si="0"/>
        <v>162,5</v>
      </c>
      <c r="M207" s="23" t="str">
        <f>"99,4175"</f>
        <v>99,4175</v>
      </c>
      <c r="N207" s="27" t="s">
        <v>37</v>
      </c>
    </row>
    <row r="208" spans="1:14" ht="12.75">
      <c r="A208" s="23" t="s">
        <v>750</v>
      </c>
      <c r="B208" s="20" t="s">
        <v>995</v>
      </c>
      <c r="C208" s="20" t="s">
        <v>996</v>
      </c>
      <c r="D208" s="20" t="s">
        <v>423</v>
      </c>
      <c r="E208" s="20" t="str">
        <f>"0,6101"</f>
        <v>0,6101</v>
      </c>
      <c r="F208" s="20" t="s">
        <v>15</v>
      </c>
      <c r="G208" s="20" t="s">
        <v>351</v>
      </c>
      <c r="H208" s="22" t="s">
        <v>92</v>
      </c>
      <c r="I208" s="21" t="s">
        <v>92</v>
      </c>
      <c r="J208" s="21" t="s">
        <v>205</v>
      </c>
      <c r="K208" s="23"/>
      <c r="L208" s="23" t="str">
        <f t="shared" si="0"/>
        <v>162,5</v>
      </c>
      <c r="M208" s="23" t="str">
        <f>"99,1412"</f>
        <v>99,1412</v>
      </c>
      <c r="N208" s="27" t="s">
        <v>988</v>
      </c>
    </row>
    <row r="209" spans="1:14" ht="12.75">
      <c r="A209" s="23" t="s">
        <v>753</v>
      </c>
      <c r="B209" s="20" t="s">
        <v>997</v>
      </c>
      <c r="C209" s="20" t="s">
        <v>998</v>
      </c>
      <c r="D209" s="20" t="s">
        <v>204</v>
      </c>
      <c r="E209" s="20" t="str">
        <f>"0,6147"</f>
        <v>0,6147</v>
      </c>
      <c r="F209" s="20" t="s">
        <v>15</v>
      </c>
      <c r="G209" s="27" t="s">
        <v>999</v>
      </c>
      <c r="H209" s="22" t="s">
        <v>80</v>
      </c>
      <c r="I209" s="22" t="s">
        <v>92</v>
      </c>
      <c r="J209" s="21" t="s">
        <v>92</v>
      </c>
      <c r="K209" s="23"/>
      <c r="L209" s="23" t="str">
        <f>"155,0"</f>
        <v>155,0</v>
      </c>
      <c r="M209" s="23" t="str">
        <f>"95,2785"</f>
        <v>95,2785</v>
      </c>
      <c r="N209" s="27" t="s">
        <v>37</v>
      </c>
    </row>
    <row r="210" spans="1:14" ht="12.75">
      <c r="A210" s="23" t="s">
        <v>904</v>
      </c>
      <c r="B210" s="20" t="s">
        <v>1000</v>
      </c>
      <c r="C210" s="20" t="s">
        <v>1001</v>
      </c>
      <c r="D210" s="20" t="s">
        <v>292</v>
      </c>
      <c r="E210" s="20" t="str">
        <f>"0,6129"</f>
        <v>0,6129</v>
      </c>
      <c r="F210" s="20" t="s">
        <v>15</v>
      </c>
      <c r="G210" s="20" t="s">
        <v>16</v>
      </c>
      <c r="H210" s="21" t="s">
        <v>58</v>
      </c>
      <c r="I210" s="21" t="s">
        <v>80</v>
      </c>
      <c r="J210" s="22" t="s">
        <v>205</v>
      </c>
      <c r="K210" s="23"/>
      <c r="L210" s="23" t="str">
        <f>"150,0"</f>
        <v>150,0</v>
      </c>
      <c r="M210" s="23" t="str">
        <f>"91,9350"</f>
        <v>91,9350</v>
      </c>
      <c r="N210" s="27" t="s">
        <v>37</v>
      </c>
    </row>
    <row r="211" spans="1:14" ht="12.75">
      <c r="A211" s="23" t="s">
        <v>909</v>
      </c>
      <c r="B211" s="20" t="s">
        <v>1002</v>
      </c>
      <c r="C211" s="20" t="s">
        <v>1003</v>
      </c>
      <c r="D211" s="20" t="s">
        <v>428</v>
      </c>
      <c r="E211" s="20" t="str">
        <f>"0,6166"</f>
        <v>0,6166</v>
      </c>
      <c r="F211" s="20" t="s">
        <v>15</v>
      </c>
      <c r="G211" s="20" t="s">
        <v>16</v>
      </c>
      <c r="H211" s="21" t="s">
        <v>59</v>
      </c>
      <c r="I211" s="22" t="s">
        <v>92</v>
      </c>
      <c r="J211" s="22" t="s">
        <v>92</v>
      </c>
      <c r="K211" s="23"/>
      <c r="L211" s="23" t="str">
        <f>"145,0"</f>
        <v>145,0</v>
      </c>
      <c r="M211" s="23" t="str">
        <f>"89,4070"</f>
        <v>89,4070</v>
      </c>
      <c r="N211" s="27" t="s">
        <v>37</v>
      </c>
    </row>
    <row r="212" spans="1:14" ht="12.75">
      <c r="A212" s="23" t="s">
        <v>913</v>
      </c>
      <c r="B212" s="20" t="s">
        <v>1004</v>
      </c>
      <c r="C212" s="20" t="s">
        <v>1005</v>
      </c>
      <c r="D212" s="20" t="s">
        <v>1006</v>
      </c>
      <c r="E212" s="20" t="str">
        <f>"0,6223"</f>
        <v>0,6223</v>
      </c>
      <c r="F212" s="20" t="s">
        <v>15</v>
      </c>
      <c r="G212" s="27" t="s">
        <v>1007</v>
      </c>
      <c r="H212" s="21" t="s">
        <v>57</v>
      </c>
      <c r="I212" s="22" t="s">
        <v>58</v>
      </c>
      <c r="J212" s="21" t="s">
        <v>58</v>
      </c>
      <c r="K212" s="23"/>
      <c r="L212" s="23" t="str">
        <f>"140,0"</f>
        <v>140,0</v>
      </c>
      <c r="M212" s="23" t="str">
        <f>"87,1220"</f>
        <v>87,1220</v>
      </c>
      <c r="N212" s="27" t="s">
        <v>1008</v>
      </c>
    </row>
    <row r="213" spans="1:14" ht="12.75">
      <c r="A213" s="23" t="s">
        <v>917</v>
      </c>
      <c r="B213" s="20" t="s">
        <v>1009</v>
      </c>
      <c r="C213" s="20" t="s">
        <v>808</v>
      </c>
      <c r="D213" s="20" t="s">
        <v>200</v>
      </c>
      <c r="E213" s="20" t="str">
        <f>"0,6144"</f>
        <v>0,6144</v>
      </c>
      <c r="F213" s="20" t="s">
        <v>15</v>
      </c>
      <c r="G213" s="27" t="s">
        <v>366</v>
      </c>
      <c r="H213" s="21" t="s">
        <v>57</v>
      </c>
      <c r="I213" s="22" t="s">
        <v>58</v>
      </c>
      <c r="J213" s="22" t="s">
        <v>58</v>
      </c>
      <c r="K213" s="23"/>
      <c r="L213" s="23" t="str">
        <f>"130,0"</f>
        <v>130,0</v>
      </c>
      <c r="M213" s="23" t="str">
        <f>"79,8720"</f>
        <v>79,8720</v>
      </c>
      <c r="N213" s="27" t="s">
        <v>37</v>
      </c>
    </row>
    <row r="214" spans="1:14" ht="12.75">
      <c r="A214" s="23" t="s">
        <v>1010</v>
      </c>
      <c r="B214" s="20" t="s">
        <v>1011</v>
      </c>
      <c r="C214" s="20" t="s">
        <v>1012</v>
      </c>
      <c r="D214" s="20" t="s">
        <v>1013</v>
      </c>
      <c r="E214" s="20" t="str">
        <f>"0,6191"</f>
        <v>0,6191</v>
      </c>
      <c r="F214" s="20" t="s">
        <v>15</v>
      </c>
      <c r="G214" s="20" t="s">
        <v>347</v>
      </c>
      <c r="H214" s="21" t="s">
        <v>82</v>
      </c>
      <c r="I214" s="22" t="s">
        <v>57</v>
      </c>
      <c r="J214" s="22" t="s">
        <v>57</v>
      </c>
      <c r="K214" s="23"/>
      <c r="L214" s="23" t="str">
        <f>"125,0"</f>
        <v>125,0</v>
      </c>
      <c r="M214" s="23" t="str">
        <f>"77,3875"</f>
        <v>77,3875</v>
      </c>
      <c r="N214" s="27" t="s">
        <v>1014</v>
      </c>
    </row>
    <row r="215" spans="1:14" ht="12.75">
      <c r="A215" s="23" t="s">
        <v>1015</v>
      </c>
      <c r="B215" s="20" t="s">
        <v>1016</v>
      </c>
      <c r="C215" s="20" t="s">
        <v>1017</v>
      </c>
      <c r="D215" s="20" t="s">
        <v>292</v>
      </c>
      <c r="E215" s="20" t="str">
        <f>"0,6129"</f>
        <v>0,6129</v>
      </c>
      <c r="F215" s="20" t="s">
        <v>15</v>
      </c>
      <c r="G215" s="20" t="s">
        <v>16</v>
      </c>
      <c r="H215" s="21" t="s">
        <v>34</v>
      </c>
      <c r="I215" s="21" t="s">
        <v>134</v>
      </c>
      <c r="J215" s="21" t="s">
        <v>82</v>
      </c>
      <c r="K215" s="22" t="s">
        <v>57</v>
      </c>
      <c r="L215" s="23" t="str">
        <f>"125,0"</f>
        <v>125,0</v>
      </c>
      <c r="M215" s="23" t="str">
        <f>"76,6125"</f>
        <v>76,6125</v>
      </c>
      <c r="N215" s="27" t="s">
        <v>439</v>
      </c>
    </row>
    <row r="216" spans="1:14" ht="12.75">
      <c r="A216" s="23" t="s">
        <v>24</v>
      </c>
      <c r="B216" s="20" t="s">
        <v>1018</v>
      </c>
      <c r="C216" s="20" t="s">
        <v>1019</v>
      </c>
      <c r="D216" s="20" t="s">
        <v>1020</v>
      </c>
      <c r="E216" s="20" t="str">
        <f>"0,6188"</f>
        <v>0,6188</v>
      </c>
      <c r="F216" s="20" t="s">
        <v>15</v>
      </c>
      <c r="G216" s="27" t="s">
        <v>1021</v>
      </c>
      <c r="H216" s="21" t="s">
        <v>123</v>
      </c>
      <c r="I216" s="21" t="s">
        <v>124</v>
      </c>
      <c r="J216" s="21" t="s">
        <v>116</v>
      </c>
      <c r="K216" s="23"/>
      <c r="L216" s="23" t="str">
        <f>"200,0"</f>
        <v>200,0</v>
      </c>
      <c r="M216" s="23" t="str">
        <f>"125,4926"</f>
        <v>125,4926</v>
      </c>
      <c r="N216" s="27" t="s">
        <v>37</v>
      </c>
    </row>
    <row r="217" spans="1:14" ht="12.75">
      <c r="A217" s="23" t="s">
        <v>38</v>
      </c>
      <c r="B217" s="20" t="s">
        <v>464</v>
      </c>
      <c r="C217" s="20" t="s">
        <v>465</v>
      </c>
      <c r="D217" s="20" t="s">
        <v>204</v>
      </c>
      <c r="E217" s="20" t="str">
        <f>"0,6147"</f>
        <v>0,6147</v>
      </c>
      <c r="F217" s="27" t="s">
        <v>335</v>
      </c>
      <c r="G217" s="20" t="s">
        <v>336</v>
      </c>
      <c r="H217" s="21" t="s">
        <v>132</v>
      </c>
      <c r="I217" s="22" t="s">
        <v>124</v>
      </c>
      <c r="J217" s="22" t="s">
        <v>124</v>
      </c>
      <c r="K217" s="23"/>
      <c r="L217" s="23" t="str">
        <f>"190,0"</f>
        <v>190,0</v>
      </c>
      <c r="M217" s="23" t="str">
        <f>"120,0632"</f>
        <v>120,0632</v>
      </c>
      <c r="N217" s="27" t="s">
        <v>37</v>
      </c>
    </row>
    <row r="218" spans="1:14" ht="12.75">
      <c r="A218" s="23" t="s">
        <v>72</v>
      </c>
      <c r="B218" s="20" t="s">
        <v>1022</v>
      </c>
      <c r="C218" s="20" t="s">
        <v>1023</v>
      </c>
      <c r="D218" s="20" t="s">
        <v>284</v>
      </c>
      <c r="E218" s="20" t="str">
        <f>"0,6142"</f>
        <v>0,6142</v>
      </c>
      <c r="F218" s="20" t="s">
        <v>15</v>
      </c>
      <c r="G218" s="20" t="s">
        <v>435</v>
      </c>
      <c r="H218" s="21" t="s">
        <v>104</v>
      </c>
      <c r="I218" s="21" t="s">
        <v>101</v>
      </c>
      <c r="J218" s="22" t="s">
        <v>169</v>
      </c>
      <c r="K218" s="23"/>
      <c r="L218" s="23" t="str">
        <f>"165,0"</f>
        <v>165,0</v>
      </c>
      <c r="M218" s="23" t="str">
        <f>"102,7618"</f>
        <v>102,7618</v>
      </c>
      <c r="N218" s="27" t="s">
        <v>436</v>
      </c>
    </row>
    <row r="219" spans="1:14" ht="12.75">
      <c r="A219" s="23" t="s">
        <v>24</v>
      </c>
      <c r="B219" s="20" t="s">
        <v>206</v>
      </c>
      <c r="C219" s="20" t="s">
        <v>207</v>
      </c>
      <c r="D219" s="20" t="s">
        <v>208</v>
      </c>
      <c r="E219" s="20" t="str">
        <f>"0,6106"</f>
        <v>0,6106</v>
      </c>
      <c r="F219" s="20" t="s">
        <v>15</v>
      </c>
      <c r="G219" s="20" t="s">
        <v>209</v>
      </c>
      <c r="H219" s="21" t="s">
        <v>104</v>
      </c>
      <c r="I219" s="21" t="s">
        <v>105</v>
      </c>
      <c r="J219" s="23"/>
      <c r="K219" s="23"/>
      <c r="L219" s="23" t="str">
        <f>"170,0"</f>
        <v>170,0</v>
      </c>
      <c r="M219" s="23" t="str">
        <f>"123,2130"</f>
        <v>123,2130</v>
      </c>
      <c r="N219" s="27" t="s">
        <v>37</v>
      </c>
    </row>
    <row r="220" spans="1:14" ht="12.75">
      <c r="A220" s="23" t="s">
        <v>13</v>
      </c>
      <c r="B220" s="20" t="s">
        <v>1024</v>
      </c>
      <c r="C220" s="20" t="s">
        <v>1025</v>
      </c>
      <c r="D220" s="20" t="s">
        <v>200</v>
      </c>
      <c r="E220" s="20" t="str">
        <f>"0,6144"</f>
        <v>0,6144</v>
      </c>
      <c r="F220" s="20" t="s">
        <v>15</v>
      </c>
      <c r="G220" s="20" t="s">
        <v>16</v>
      </c>
      <c r="H220" s="22" t="s">
        <v>57</v>
      </c>
      <c r="I220" s="22" t="s">
        <v>68</v>
      </c>
      <c r="J220" s="22" t="s">
        <v>68</v>
      </c>
      <c r="K220" s="23"/>
      <c r="L220" s="23" t="s">
        <v>23</v>
      </c>
      <c r="M220" s="23" t="str">
        <f>"0,0000"</f>
        <v>0,0000</v>
      </c>
      <c r="N220" s="27" t="s">
        <v>37</v>
      </c>
    </row>
    <row r="221" spans="1:14" ht="12.75">
      <c r="A221" s="18" t="s">
        <v>24</v>
      </c>
      <c r="B221" s="16" t="s">
        <v>1026</v>
      </c>
      <c r="C221" s="16" t="s">
        <v>1027</v>
      </c>
      <c r="D221" s="16" t="s">
        <v>1020</v>
      </c>
      <c r="E221" s="16" t="str">
        <f>"0,6188"</f>
        <v>0,6188</v>
      </c>
      <c r="F221" s="16" t="s">
        <v>15</v>
      </c>
      <c r="G221" s="16" t="s">
        <v>295</v>
      </c>
      <c r="H221" s="17" t="s">
        <v>68</v>
      </c>
      <c r="I221" s="17" t="s">
        <v>58</v>
      </c>
      <c r="J221" s="17" t="s">
        <v>69</v>
      </c>
      <c r="K221" s="18"/>
      <c r="L221" s="18" t="str">
        <f>"142,5"</f>
        <v>142,5</v>
      </c>
      <c r="M221" s="18" t="str">
        <f>"149,9043"</f>
        <v>149,9043</v>
      </c>
      <c r="N221" s="28" t="s">
        <v>37</v>
      </c>
    </row>
    <row r="222" ht="12.75">
      <c r="B222" s="6" t="s">
        <v>31</v>
      </c>
    </row>
    <row r="223" spans="1:13" ht="15">
      <c r="A223" s="43" t="s">
        <v>212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4" ht="12.75">
      <c r="A224" s="15" t="s">
        <v>24</v>
      </c>
      <c r="B224" s="12" t="s">
        <v>1028</v>
      </c>
      <c r="C224" s="12" t="s">
        <v>94</v>
      </c>
      <c r="D224" s="12" t="s">
        <v>1029</v>
      </c>
      <c r="E224" s="12" t="str">
        <f>"0,6009"</f>
        <v>0,6009</v>
      </c>
      <c r="F224" s="12" t="s">
        <v>15</v>
      </c>
      <c r="G224" s="12" t="s">
        <v>198</v>
      </c>
      <c r="H224" s="13" t="s">
        <v>58</v>
      </c>
      <c r="I224" s="13" t="s">
        <v>92</v>
      </c>
      <c r="J224" s="14" t="s">
        <v>169</v>
      </c>
      <c r="K224" s="15"/>
      <c r="L224" s="15" t="str">
        <f>"155,0"</f>
        <v>155,0</v>
      </c>
      <c r="M224" s="15" t="str">
        <f>"93,1395"</f>
        <v>93,1395</v>
      </c>
      <c r="N224" s="26" t="s">
        <v>37</v>
      </c>
    </row>
    <row r="225" spans="1:14" ht="12.75">
      <c r="A225" s="23" t="s">
        <v>24</v>
      </c>
      <c r="B225" s="20" t="s">
        <v>1030</v>
      </c>
      <c r="C225" s="20" t="s">
        <v>1031</v>
      </c>
      <c r="D225" s="20" t="s">
        <v>1032</v>
      </c>
      <c r="E225" s="20" t="str">
        <f>"0,5928"</f>
        <v>0,5928</v>
      </c>
      <c r="F225" s="20" t="s">
        <v>15</v>
      </c>
      <c r="G225" s="20" t="s">
        <v>371</v>
      </c>
      <c r="H225" s="21" t="s">
        <v>123</v>
      </c>
      <c r="I225" s="22" t="s">
        <v>116</v>
      </c>
      <c r="J225" s="22" t="s">
        <v>116</v>
      </c>
      <c r="K225" s="23"/>
      <c r="L225" s="23" t="str">
        <f>"185,0"</f>
        <v>185,0</v>
      </c>
      <c r="M225" s="23" t="str">
        <f>"109,6680"</f>
        <v>109,6680</v>
      </c>
      <c r="N225" s="27" t="s">
        <v>37</v>
      </c>
    </row>
    <row r="226" spans="1:14" ht="12.75">
      <c r="A226" s="23" t="s">
        <v>38</v>
      </c>
      <c r="B226" s="20" t="s">
        <v>1033</v>
      </c>
      <c r="C226" s="20" t="s">
        <v>1034</v>
      </c>
      <c r="D226" s="20" t="s">
        <v>1035</v>
      </c>
      <c r="E226" s="20" t="str">
        <f>"0,6028"</f>
        <v>0,6028</v>
      </c>
      <c r="F226" s="20" t="s">
        <v>15</v>
      </c>
      <c r="G226" s="20" t="s">
        <v>16</v>
      </c>
      <c r="H226" s="21" t="s">
        <v>102</v>
      </c>
      <c r="I226" s="21" t="s">
        <v>189</v>
      </c>
      <c r="J226" s="21" t="s">
        <v>131</v>
      </c>
      <c r="K226" s="23"/>
      <c r="L226" s="23" t="str">
        <f>"180,0"</f>
        <v>180,0</v>
      </c>
      <c r="M226" s="23" t="str">
        <f>"108,5040"</f>
        <v>108,5040</v>
      </c>
      <c r="N226" s="27" t="s">
        <v>37</v>
      </c>
    </row>
    <row r="227" spans="1:14" ht="12.75">
      <c r="A227" s="23" t="s">
        <v>72</v>
      </c>
      <c r="B227" s="20" t="s">
        <v>1036</v>
      </c>
      <c r="C227" s="20" t="s">
        <v>1037</v>
      </c>
      <c r="D227" s="20" t="s">
        <v>1038</v>
      </c>
      <c r="E227" s="20" t="str">
        <f>"0,6015"</f>
        <v>0,6015</v>
      </c>
      <c r="F227" s="20" t="s">
        <v>270</v>
      </c>
      <c r="G227" s="20" t="s">
        <v>271</v>
      </c>
      <c r="H227" s="21" t="s">
        <v>80</v>
      </c>
      <c r="I227" s="21" t="s">
        <v>104</v>
      </c>
      <c r="J227" s="22" t="s">
        <v>105</v>
      </c>
      <c r="K227" s="23"/>
      <c r="L227" s="23" t="str">
        <f>"160,0"</f>
        <v>160,0</v>
      </c>
      <c r="M227" s="23" t="str">
        <f>"96,2400"</f>
        <v>96,2400</v>
      </c>
      <c r="N227" s="27" t="s">
        <v>37</v>
      </c>
    </row>
    <row r="228" spans="1:14" ht="12.75">
      <c r="A228" s="23" t="s">
        <v>74</v>
      </c>
      <c r="B228" s="20" t="s">
        <v>1039</v>
      </c>
      <c r="C228" s="20" t="s">
        <v>1040</v>
      </c>
      <c r="D228" s="20" t="s">
        <v>433</v>
      </c>
      <c r="E228" s="20" t="str">
        <f>"0,5897"</f>
        <v>0,5897</v>
      </c>
      <c r="F228" s="20" t="s">
        <v>15</v>
      </c>
      <c r="G228" s="20" t="s">
        <v>16</v>
      </c>
      <c r="H228" s="21" t="s">
        <v>253</v>
      </c>
      <c r="I228" s="22" t="s">
        <v>169</v>
      </c>
      <c r="J228" s="23"/>
      <c r="K228" s="23"/>
      <c r="L228" s="23" t="str">
        <f>"147,5"</f>
        <v>147,5</v>
      </c>
      <c r="M228" s="23" t="str">
        <f>"86,9807"</f>
        <v>86,9807</v>
      </c>
      <c r="N228" s="27" t="s">
        <v>37</v>
      </c>
    </row>
    <row r="229" spans="1:14" ht="12.75">
      <c r="A229" s="23" t="s">
        <v>13</v>
      </c>
      <c r="B229" s="20" t="s">
        <v>1041</v>
      </c>
      <c r="C229" s="20" t="s">
        <v>1042</v>
      </c>
      <c r="D229" s="20" t="s">
        <v>221</v>
      </c>
      <c r="E229" s="20" t="str">
        <f>"0,5910"</f>
        <v>0,5910</v>
      </c>
      <c r="F229" s="27" t="s">
        <v>15</v>
      </c>
      <c r="G229" s="20" t="s">
        <v>1043</v>
      </c>
      <c r="H229" s="22" t="s">
        <v>116</v>
      </c>
      <c r="I229" s="22" t="s">
        <v>116</v>
      </c>
      <c r="J229" s="22" t="s">
        <v>116</v>
      </c>
      <c r="K229" s="23"/>
      <c r="L229" s="23" t="s">
        <v>23</v>
      </c>
      <c r="M229" s="23" t="str">
        <f>"0,0000"</f>
        <v>0,0000</v>
      </c>
      <c r="N229" s="27" t="s">
        <v>37</v>
      </c>
    </row>
    <row r="230" spans="1:14" ht="12.75">
      <c r="A230" s="23" t="s">
        <v>24</v>
      </c>
      <c r="B230" s="20" t="s">
        <v>1044</v>
      </c>
      <c r="C230" s="20" t="s">
        <v>1045</v>
      </c>
      <c r="D230" s="20" t="s">
        <v>1046</v>
      </c>
      <c r="E230" s="20" t="str">
        <f>"0,5998"</f>
        <v>0,5998</v>
      </c>
      <c r="F230" s="20" t="s">
        <v>15</v>
      </c>
      <c r="G230" s="20" t="s">
        <v>1047</v>
      </c>
      <c r="H230" s="21" t="s">
        <v>146</v>
      </c>
      <c r="I230" s="21" t="s">
        <v>117</v>
      </c>
      <c r="J230" s="22" t="s">
        <v>118</v>
      </c>
      <c r="K230" s="23"/>
      <c r="L230" s="23" t="str">
        <f>"210,0"</f>
        <v>210,0</v>
      </c>
      <c r="M230" s="23" t="str">
        <f>"125,9580"</f>
        <v>125,9580</v>
      </c>
      <c r="N230" s="27" t="s">
        <v>37</v>
      </c>
    </row>
    <row r="231" spans="1:14" ht="12.75">
      <c r="A231" s="23" t="s">
        <v>38</v>
      </c>
      <c r="B231" s="20" t="s">
        <v>1048</v>
      </c>
      <c r="C231" s="20" t="s">
        <v>1049</v>
      </c>
      <c r="D231" s="20" t="s">
        <v>1050</v>
      </c>
      <c r="E231" s="20" t="str">
        <f>"0,5966"</f>
        <v>0,5966</v>
      </c>
      <c r="F231" s="20" t="s">
        <v>15</v>
      </c>
      <c r="G231" s="20" t="s">
        <v>1051</v>
      </c>
      <c r="H231" s="21" t="s">
        <v>116</v>
      </c>
      <c r="I231" s="21" t="s">
        <v>117</v>
      </c>
      <c r="J231" s="22" t="s">
        <v>108</v>
      </c>
      <c r="K231" s="23"/>
      <c r="L231" s="23" t="str">
        <f>"210,0"</f>
        <v>210,0</v>
      </c>
      <c r="M231" s="23" t="str">
        <f>"125,2860"</f>
        <v>125,2860</v>
      </c>
      <c r="N231" s="27" t="s">
        <v>37</v>
      </c>
    </row>
    <row r="232" spans="1:14" ht="12.75">
      <c r="A232" s="23" t="s">
        <v>72</v>
      </c>
      <c r="B232" s="20" t="s">
        <v>1052</v>
      </c>
      <c r="C232" s="20" t="s">
        <v>1053</v>
      </c>
      <c r="D232" s="20" t="s">
        <v>1054</v>
      </c>
      <c r="E232" s="20" t="str">
        <f>"0,5923"</f>
        <v>0,5923</v>
      </c>
      <c r="F232" s="20" t="s">
        <v>15</v>
      </c>
      <c r="G232" s="20" t="s">
        <v>209</v>
      </c>
      <c r="H232" s="21" t="s">
        <v>116</v>
      </c>
      <c r="I232" s="21" t="s">
        <v>287</v>
      </c>
      <c r="J232" s="21" t="s">
        <v>117</v>
      </c>
      <c r="K232" s="23"/>
      <c r="L232" s="23" t="str">
        <f>"210,0"</f>
        <v>210,0</v>
      </c>
      <c r="M232" s="23" t="str">
        <f>"124,3830"</f>
        <v>124,3830</v>
      </c>
      <c r="N232" s="20" t="s">
        <v>1055</v>
      </c>
    </row>
    <row r="233" spans="1:14" ht="12.75">
      <c r="A233" s="23" t="s">
        <v>74</v>
      </c>
      <c r="B233" s="20" t="s">
        <v>377</v>
      </c>
      <c r="C233" s="20" t="s">
        <v>378</v>
      </c>
      <c r="D233" s="20" t="s">
        <v>303</v>
      </c>
      <c r="E233" s="20" t="str">
        <f>"0,5902"</f>
        <v>0,5902</v>
      </c>
      <c r="F233" s="20" t="s">
        <v>233</v>
      </c>
      <c r="G233" s="20" t="s">
        <v>234</v>
      </c>
      <c r="H233" s="21" t="s">
        <v>131</v>
      </c>
      <c r="I233" s="21" t="s">
        <v>124</v>
      </c>
      <c r="J233" s="21" t="s">
        <v>116</v>
      </c>
      <c r="K233" s="23"/>
      <c r="L233" s="23" t="str">
        <f>"200,0"</f>
        <v>200,0</v>
      </c>
      <c r="M233" s="23" t="str">
        <f>"118,0400"</f>
        <v>118,0400</v>
      </c>
      <c r="N233" s="27" t="s">
        <v>379</v>
      </c>
    </row>
    <row r="234" spans="1:14" ht="12.75">
      <c r="A234" s="23" t="s">
        <v>85</v>
      </c>
      <c r="B234" s="20" t="s">
        <v>1056</v>
      </c>
      <c r="C234" s="20" t="s">
        <v>1057</v>
      </c>
      <c r="D234" s="20" t="s">
        <v>1032</v>
      </c>
      <c r="E234" s="20" t="str">
        <f>"0,5928"</f>
        <v>0,5928</v>
      </c>
      <c r="F234" s="20" t="s">
        <v>15</v>
      </c>
      <c r="G234" s="20" t="s">
        <v>16</v>
      </c>
      <c r="H234" s="21" t="s">
        <v>131</v>
      </c>
      <c r="I234" s="21" t="s">
        <v>132</v>
      </c>
      <c r="J234" s="22" t="s">
        <v>124</v>
      </c>
      <c r="K234" s="23"/>
      <c r="L234" s="23" t="str">
        <f>"190,0"</f>
        <v>190,0</v>
      </c>
      <c r="M234" s="23" t="str">
        <f>"112,6320"</f>
        <v>112,6320</v>
      </c>
      <c r="N234" s="27" t="s">
        <v>1058</v>
      </c>
    </row>
    <row r="235" spans="1:14" ht="12.75">
      <c r="A235" s="23" t="s">
        <v>136</v>
      </c>
      <c r="B235" s="20" t="s">
        <v>1059</v>
      </c>
      <c r="C235" s="20" t="s">
        <v>1060</v>
      </c>
      <c r="D235" s="20" t="s">
        <v>1061</v>
      </c>
      <c r="E235" s="20" t="str">
        <f>"0,5950"</f>
        <v>0,5950</v>
      </c>
      <c r="F235" s="27" t="s">
        <v>285</v>
      </c>
      <c r="G235" s="20" t="s">
        <v>16</v>
      </c>
      <c r="H235" s="21" t="s">
        <v>102</v>
      </c>
      <c r="I235" s="21" t="s">
        <v>131</v>
      </c>
      <c r="J235" s="21" t="s">
        <v>123</v>
      </c>
      <c r="K235" s="23"/>
      <c r="L235" s="23" t="str">
        <f>"185,0"</f>
        <v>185,0</v>
      </c>
      <c r="M235" s="23" t="str">
        <f>"110,0750"</f>
        <v>110,0750</v>
      </c>
      <c r="N235" s="27" t="s">
        <v>37</v>
      </c>
    </row>
    <row r="236" spans="1:14" ht="12.75">
      <c r="A236" s="23" t="s">
        <v>139</v>
      </c>
      <c r="B236" s="20" t="s">
        <v>1033</v>
      </c>
      <c r="C236" s="20" t="s">
        <v>1062</v>
      </c>
      <c r="D236" s="20" t="s">
        <v>1063</v>
      </c>
      <c r="E236" s="20" t="str">
        <f>"0,5932"</f>
        <v>0,5932</v>
      </c>
      <c r="F236" s="20" t="s">
        <v>15</v>
      </c>
      <c r="G236" s="20" t="s">
        <v>1064</v>
      </c>
      <c r="H236" s="21" t="s">
        <v>102</v>
      </c>
      <c r="I236" s="21" t="s">
        <v>189</v>
      </c>
      <c r="J236" s="21" t="s">
        <v>131</v>
      </c>
      <c r="K236" s="23"/>
      <c r="L236" s="39">
        <v>180</v>
      </c>
      <c r="M236" s="40">
        <v>106.776</v>
      </c>
      <c r="N236" s="27" t="s">
        <v>37</v>
      </c>
    </row>
    <row r="237" spans="1:14" ht="12.75">
      <c r="A237" s="23" t="s">
        <v>142</v>
      </c>
      <c r="B237" s="20" t="s">
        <v>1065</v>
      </c>
      <c r="C237" s="20" t="s">
        <v>1066</v>
      </c>
      <c r="D237" s="20" t="s">
        <v>216</v>
      </c>
      <c r="E237" s="20" t="str">
        <f>"0,5909"</f>
        <v>0,5909</v>
      </c>
      <c r="F237" s="20" t="s">
        <v>15</v>
      </c>
      <c r="G237" s="20" t="s">
        <v>16</v>
      </c>
      <c r="H237" s="21" t="s">
        <v>102</v>
      </c>
      <c r="I237" s="21" t="s">
        <v>131</v>
      </c>
      <c r="J237" s="22" t="s">
        <v>123</v>
      </c>
      <c r="K237" s="23"/>
      <c r="L237" s="23" t="str">
        <f>"180,0"</f>
        <v>180,0</v>
      </c>
      <c r="M237" s="23" t="str">
        <f>"106,3620"</f>
        <v>106,3620</v>
      </c>
      <c r="N237" s="27" t="s">
        <v>37</v>
      </c>
    </row>
    <row r="238" spans="1:14" ht="12.75">
      <c r="A238" s="23" t="s">
        <v>427</v>
      </c>
      <c r="B238" s="20" t="s">
        <v>1067</v>
      </c>
      <c r="C238" s="20" t="s">
        <v>1068</v>
      </c>
      <c r="D238" s="20" t="s">
        <v>1069</v>
      </c>
      <c r="E238" s="20" t="str">
        <f>"0,5905"</f>
        <v>0,5905</v>
      </c>
      <c r="F238" s="20" t="s">
        <v>15</v>
      </c>
      <c r="G238" s="20" t="s">
        <v>16</v>
      </c>
      <c r="H238" s="21" t="s">
        <v>169</v>
      </c>
      <c r="I238" s="21" t="s">
        <v>102</v>
      </c>
      <c r="J238" s="22" t="s">
        <v>131</v>
      </c>
      <c r="K238" s="23"/>
      <c r="L238" s="23" t="str">
        <f>"175,0"</f>
        <v>175,0</v>
      </c>
      <c r="M238" s="23" t="str">
        <f>"103,3375"</f>
        <v>103,3375</v>
      </c>
      <c r="N238" s="27" t="s">
        <v>1070</v>
      </c>
    </row>
    <row r="239" spans="1:14" ht="12.75">
      <c r="A239" s="23" t="s">
        <v>731</v>
      </c>
      <c r="B239" s="20" t="s">
        <v>1071</v>
      </c>
      <c r="C239" s="20" t="s">
        <v>1072</v>
      </c>
      <c r="D239" s="20" t="s">
        <v>1073</v>
      </c>
      <c r="E239" s="20" t="str">
        <f>"0,5946"</f>
        <v>0,5946</v>
      </c>
      <c r="F239" s="20" t="s">
        <v>15</v>
      </c>
      <c r="G239" s="20" t="s">
        <v>582</v>
      </c>
      <c r="H239" s="21" t="s">
        <v>101</v>
      </c>
      <c r="I239" s="21" t="s">
        <v>105</v>
      </c>
      <c r="J239" s="21" t="s">
        <v>194</v>
      </c>
      <c r="K239" s="23"/>
      <c r="L239" s="23" t="str">
        <f>"172,5"</f>
        <v>172,5</v>
      </c>
      <c r="M239" s="23" t="str">
        <f>"102,5685"</f>
        <v>102,5685</v>
      </c>
      <c r="N239" s="27" t="s">
        <v>37</v>
      </c>
    </row>
    <row r="240" spans="1:14" ht="12.75">
      <c r="A240" s="23" t="s">
        <v>736</v>
      </c>
      <c r="B240" s="20" t="s">
        <v>1074</v>
      </c>
      <c r="C240" s="20" t="s">
        <v>1075</v>
      </c>
      <c r="D240" s="20" t="s">
        <v>1073</v>
      </c>
      <c r="E240" s="20" t="str">
        <f>"0,5946"</f>
        <v>0,5946</v>
      </c>
      <c r="F240" s="20" t="s">
        <v>15</v>
      </c>
      <c r="G240" s="20" t="s">
        <v>248</v>
      </c>
      <c r="H240" s="22" t="s">
        <v>104</v>
      </c>
      <c r="I240" s="21" t="s">
        <v>105</v>
      </c>
      <c r="J240" s="22" t="s">
        <v>102</v>
      </c>
      <c r="K240" s="23"/>
      <c r="L240" s="23" t="str">
        <f>"170,0"</f>
        <v>170,0</v>
      </c>
      <c r="M240" s="23" t="str">
        <f>"101,0820"</f>
        <v>101,0820</v>
      </c>
      <c r="N240" s="27" t="s">
        <v>249</v>
      </c>
    </row>
    <row r="241" spans="1:14" ht="12.75">
      <c r="A241" s="23" t="s">
        <v>741</v>
      </c>
      <c r="B241" s="20" t="s">
        <v>466</v>
      </c>
      <c r="C241" s="20" t="s">
        <v>467</v>
      </c>
      <c r="D241" s="20" t="s">
        <v>303</v>
      </c>
      <c r="E241" s="20" t="str">
        <f>"0,5902"</f>
        <v>0,5902</v>
      </c>
      <c r="F241" s="20" t="s">
        <v>374</v>
      </c>
      <c r="G241" s="20" t="s">
        <v>468</v>
      </c>
      <c r="H241" s="21" t="s">
        <v>92</v>
      </c>
      <c r="I241" s="21" t="s">
        <v>205</v>
      </c>
      <c r="J241" s="22" t="s">
        <v>169</v>
      </c>
      <c r="K241" s="23"/>
      <c r="L241" s="23" t="str">
        <f>"162,5"</f>
        <v>162,5</v>
      </c>
      <c r="M241" s="23" t="str">
        <f>"95,9075"</f>
        <v>95,9075</v>
      </c>
      <c r="N241" s="27" t="s">
        <v>469</v>
      </c>
    </row>
    <row r="242" spans="1:14" ht="12.75">
      <c r="A242" s="23" t="s">
        <v>744</v>
      </c>
      <c r="B242" s="20" t="s">
        <v>202</v>
      </c>
      <c r="C242" s="20" t="s">
        <v>203</v>
      </c>
      <c r="D242" s="20" t="s">
        <v>303</v>
      </c>
      <c r="E242" s="20" t="str">
        <f>"0,5902"</f>
        <v>0,5902</v>
      </c>
      <c r="F242" s="20" t="s">
        <v>15</v>
      </c>
      <c r="G242" s="20" t="s">
        <v>16</v>
      </c>
      <c r="H242" s="21" t="s">
        <v>205</v>
      </c>
      <c r="I242" s="22" t="s">
        <v>169</v>
      </c>
      <c r="J242" s="22" t="s">
        <v>169</v>
      </c>
      <c r="K242" s="23"/>
      <c r="L242" s="23" t="str">
        <f>"162,5"</f>
        <v>162,5</v>
      </c>
      <c r="M242" s="23" t="str">
        <f>"95,9075"</f>
        <v>95,9075</v>
      </c>
      <c r="N242" s="27" t="s">
        <v>37</v>
      </c>
    </row>
    <row r="243" spans="1:14" ht="12.75">
      <c r="A243" s="23" t="s">
        <v>747</v>
      </c>
      <c r="B243" s="20" t="s">
        <v>1076</v>
      </c>
      <c r="C243" s="20" t="s">
        <v>549</v>
      </c>
      <c r="D243" s="20" t="s">
        <v>1077</v>
      </c>
      <c r="E243" s="20" t="str">
        <f>"0,6011"</f>
        <v>0,6011</v>
      </c>
      <c r="F243" s="27" t="s">
        <v>270</v>
      </c>
      <c r="G243" s="20" t="s">
        <v>271</v>
      </c>
      <c r="H243" s="21" t="s">
        <v>80</v>
      </c>
      <c r="I243" s="22" t="s">
        <v>104</v>
      </c>
      <c r="J243" s="22" t="s">
        <v>104</v>
      </c>
      <c r="K243" s="23"/>
      <c r="L243" s="23" t="str">
        <f>"150,0"</f>
        <v>150,0</v>
      </c>
      <c r="M243" s="23" t="str">
        <f>"90,1650"</f>
        <v>90,1650</v>
      </c>
      <c r="N243" s="27" t="s">
        <v>37</v>
      </c>
    </row>
    <row r="244" spans="1:14" ht="12.75">
      <c r="A244" s="23" t="s">
        <v>750</v>
      </c>
      <c r="B244" s="20" t="s">
        <v>1078</v>
      </c>
      <c r="C244" s="20" t="s">
        <v>1079</v>
      </c>
      <c r="D244" s="20" t="s">
        <v>300</v>
      </c>
      <c r="E244" s="20" t="str">
        <f>"0,5926"</f>
        <v>0,5926</v>
      </c>
      <c r="F244" s="20" t="s">
        <v>15</v>
      </c>
      <c r="G244" s="20" t="s">
        <v>98</v>
      </c>
      <c r="H244" s="22" t="s">
        <v>253</v>
      </c>
      <c r="I244" s="21" t="s">
        <v>253</v>
      </c>
      <c r="J244" s="21" t="s">
        <v>80</v>
      </c>
      <c r="K244" s="23"/>
      <c r="L244" s="23" t="str">
        <f>"150,0"</f>
        <v>150,0</v>
      </c>
      <c r="M244" s="23" t="str">
        <f>"88,8900"</f>
        <v>88,8900</v>
      </c>
      <c r="N244" s="27" t="s">
        <v>37</v>
      </c>
    </row>
    <row r="245" spans="1:14" ht="12.75">
      <c r="A245" s="23" t="s">
        <v>13</v>
      </c>
      <c r="B245" s="20" t="s">
        <v>1080</v>
      </c>
      <c r="C245" s="20" t="s">
        <v>1081</v>
      </c>
      <c r="D245" s="20" t="s">
        <v>1082</v>
      </c>
      <c r="E245" s="20" t="str">
        <f>"0,6041"</f>
        <v>0,6041</v>
      </c>
      <c r="F245" s="20" t="s">
        <v>15</v>
      </c>
      <c r="G245" s="20" t="s">
        <v>16</v>
      </c>
      <c r="H245" s="22" t="s">
        <v>137</v>
      </c>
      <c r="I245" s="22" t="s">
        <v>137</v>
      </c>
      <c r="J245" s="22" t="s">
        <v>137</v>
      </c>
      <c r="K245" s="23"/>
      <c r="L245" s="23" t="s">
        <v>23</v>
      </c>
      <c r="M245" s="23" t="str">
        <f>"0,0000"</f>
        <v>0,0000</v>
      </c>
      <c r="N245" s="27" t="s">
        <v>1083</v>
      </c>
    </row>
    <row r="246" spans="1:14" ht="12.75">
      <c r="A246" s="23" t="s">
        <v>13</v>
      </c>
      <c r="B246" s="20" t="s">
        <v>1084</v>
      </c>
      <c r="C246" s="20" t="s">
        <v>1085</v>
      </c>
      <c r="D246" s="20" t="s">
        <v>1086</v>
      </c>
      <c r="E246" s="20" t="str">
        <f>"0,5941"</f>
        <v>0,5941</v>
      </c>
      <c r="F246" s="20" t="s">
        <v>15</v>
      </c>
      <c r="G246" s="20" t="s">
        <v>16</v>
      </c>
      <c r="H246" s="22" t="s">
        <v>169</v>
      </c>
      <c r="I246" s="22" t="s">
        <v>169</v>
      </c>
      <c r="J246" s="22" t="s">
        <v>169</v>
      </c>
      <c r="K246" s="23"/>
      <c r="L246" s="23" t="s">
        <v>23</v>
      </c>
      <c r="M246" s="23" t="str">
        <f>"0,0000"</f>
        <v>0,0000</v>
      </c>
      <c r="N246" s="27" t="s">
        <v>37</v>
      </c>
    </row>
    <row r="247" spans="1:14" ht="12.75">
      <c r="A247" s="23" t="s">
        <v>24</v>
      </c>
      <c r="B247" s="20" t="s">
        <v>1087</v>
      </c>
      <c r="C247" s="20" t="s">
        <v>1019</v>
      </c>
      <c r="D247" s="20" t="s">
        <v>470</v>
      </c>
      <c r="E247" s="20" t="str">
        <f>"0,5984"</f>
        <v>0,5984</v>
      </c>
      <c r="F247" s="20" t="s">
        <v>15</v>
      </c>
      <c r="G247" s="20" t="s">
        <v>435</v>
      </c>
      <c r="H247" s="21" t="s">
        <v>102</v>
      </c>
      <c r="I247" s="21" t="s">
        <v>131</v>
      </c>
      <c r="J247" s="21" t="s">
        <v>123</v>
      </c>
      <c r="K247" s="23"/>
      <c r="L247" s="23" t="str">
        <f>"185,0"</f>
        <v>185,0</v>
      </c>
      <c r="M247" s="23" t="str">
        <f>"112,2539"</f>
        <v>112,2539</v>
      </c>
      <c r="N247" s="27" t="s">
        <v>436</v>
      </c>
    </row>
    <row r="248" spans="1:14" ht="12.75">
      <c r="A248" s="23" t="s">
        <v>38</v>
      </c>
      <c r="B248" s="20" t="s">
        <v>1088</v>
      </c>
      <c r="C248" s="20" t="s">
        <v>1089</v>
      </c>
      <c r="D248" s="20" t="s">
        <v>303</v>
      </c>
      <c r="E248" s="20" t="str">
        <f>"0,5902"</f>
        <v>0,5902</v>
      </c>
      <c r="F248" s="20" t="s">
        <v>15</v>
      </c>
      <c r="G248" s="20" t="s">
        <v>1090</v>
      </c>
      <c r="H248" s="21" t="s">
        <v>169</v>
      </c>
      <c r="I248" s="21" t="s">
        <v>194</v>
      </c>
      <c r="J248" s="21" t="s">
        <v>189</v>
      </c>
      <c r="K248" s="23"/>
      <c r="L248" s="23" t="str">
        <f>"177,5"</f>
        <v>177,5</v>
      </c>
      <c r="M248" s="23" t="str">
        <f>"105,2843"</f>
        <v>105,2843</v>
      </c>
      <c r="N248" s="27" t="s">
        <v>1091</v>
      </c>
    </row>
    <row r="249" spans="1:14" ht="12.75">
      <c r="A249" s="23" t="s">
        <v>72</v>
      </c>
      <c r="B249" s="20" t="s">
        <v>219</v>
      </c>
      <c r="C249" s="20" t="s">
        <v>220</v>
      </c>
      <c r="D249" s="20" t="s">
        <v>303</v>
      </c>
      <c r="E249" s="20" t="str">
        <f>"0,5902"</f>
        <v>0,5902</v>
      </c>
      <c r="F249" s="20" t="s">
        <v>15</v>
      </c>
      <c r="G249" s="20" t="s">
        <v>209</v>
      </c>
      <c r="H249" s="21" t="s">
        <v>104</v>
      </c>
      <c r="I249" s="21" t="s">
        <v>102</v>
      </c>
      <c r="J249" s="22" t="s">
        <v>222</v>
      </c>
      <c r="K249" s="23"/>
      <c r="L249" s="23" t="str">
        <f>"175,0"</f>
        <v>175,0</v>
      </c>
      <c r="M249" s="23" t="str">
        <f>"104,7310"</f>
        <v>104,7310</v>
      </c>
      <c r="N249" s="27" t="s">
        <v>223</v>
      </c>
    </row>
    <row r="250" spans="1:14" ht="12.75">
      <c r="A250" s="23" t="s">
        <v>74</v>
      </c>
      <c r="B250" s="20" t="s">
        <v>1092</v>
      </c>
      <c r="C250" s="20" t="s">
        <v>254</v>
      </c>
      <c r="D250" s="20" t="s">
        <v>1093</v>
      </c>
      <c r="E250" s="20" t="str">
        <f>"0,5970"</f>
        <v>0,5970</v>
      </c>
      <c r="F250" s="27" t="s">
        <v>270</v>
      </c>
      <c r="G250" s="20" t="s">
        <v>271</v>
      </c>
      <c r="H250" s="21" t="s">
        <v>80</v>
      </c>
      <c r="I250" s="22" t="s">
        <v>201</v>
      </c>
      <c r="J250" s="21" t="s">
        <v>104</v>
      </c>
      <c r="K250" s="23"/>
      <c r="L250" s="23" t="str">
        <f>"160,0"</f>
        <v>160,0</v>
      </c>
      <c r="M250" s="23" t="str">
        <f>"95,5200"</f>
        <v>95,5200</v>
      </c>
      <c r="N250" s="27" t="s">
        <v>37</v>
      </c>
    </row>
    <row r="251" spans="1:14" ht="12.75">
      <c r="A251" s="23" t="s">
        <v>13</v>
      </c>
      <c r="B251" s="20" t="s">
        <v>1094</v>
      </c>
      <c r="C251" s="20" t="s">
        <v>1095</v>
      </c>
      <c r="D251" s="20" t="s">
        <v>489</v>
      </c>
      <c r="E251" s="20" t="str">
        <f>"0,5954"</f>
        <v>0,5954</v>
      </c>
      <c r="F251" s="20" t="s">
        <v>15</v>
      </c>
      <c r="G251" s="20" t="s">
        <v>16</v>
      </c>
      <c r="H251" s="22" t="s">
        <v>104</v>
      </c>
      <c r="I251" s="22" t="s">
        <v>104</v>
      </c>
      <c r="J251" s="22" t="s">
        <v>104</v>
      </c>
      <c r="K251" s="23"/>
      <c r="L251" s="23" t="s">
        <v>23</v>
      </c>
      <c r="M251" s="23" t="str">
        <f>"0,0000"</f>
        <v>0,0000</v>
      </c>
      <c r="N251" s="27" t="s">
        <v>37</v>
      </c>
    </row>
    <row r="252" spans="1:14" ht="12.75">
      <c r="A252" s="23" t="s">
        <v>24</v>
      </c>
      <c r="B252" s="20" t="s">
        <v>1096</v>
      </c>
      <c r="C252" s="20" t="s">
        <v>1097</v>
      </c>
      <c r="D252" s="20" t="s">
        <v>214</v>
      </c>
      <c r="E252" s="20" t="str">
        <f>"0,5895"</f>
        <v>0,5895</v>
      </c>
      <c r="F252" s="20" t="s">
        <v>15</v>
      </c>
      <c r="G252" s="20" t="s">
        <v>16</v>
      </c>
      <c r="H252" s="21" t="s">
        <v>92</v>
      </c>
      <c r="I252" s="21" t="s">
        <v>205</v>
      </c>
      <c r="J252" s="21" t="s">
        <v>169</v>
      </c>
      <c r="K252" s="23"/>
      <c r="L252" s="23" t="str">
        <f>"167,5"</f>
        <v>167,5</v>
      </c>
      <c r="M252" s="23" t="str">
        <f>"117,2059"</f>
        <v>117,2059</v>
      </c>
      <c r="N252" s="27" t="s">
        <v>1098</v>
      </c>
    </row>
    <row r="253" spans="1:14" ht="12.75">
      <c r="A253" s="18" t="s">
        <v>38</v>
      </c>
      <c r="B253" s="16" t="s">
        <v>1099</v>
      </c>
      <c r="C253" s="16" t="s">
        <v>1100</v>
      </c>
      <c r="D253" s="16" t="s">
        <v>303</v>
      </c>
      <c r="E253" s="16" t="str">
        <f>"0,5902"</f>
        <v>0,5902</v>
      </c>
      <c r="F253" s="28" t="s">
        <v>252</v>
      </c>
      <c r="G253" s="16" t="s">
        <v>16</v>
      </c>
      <c r="H253" s="17" t="s">
        <v>59</v>
      </c>
      <c r="I253" s="19" t="s">
        <v>80</v>
      </c>
      <c r="J253" s="19" t="s">
        <v>80</v>
      </c>
      <c r="K253" s="18"/>
      <c r="L253" s="18" t="str">
        <f>"145,0"</f>
        <v>145,0</v>
      </c>
      <c r="M253" s="18" t="str">
        <f>"108,9421"</f>
        <v>108,9421</v>
      </c>
      <c r="N253" s="28" t="s">
        <v>37</v>
      </c>
    </row>
    <row r="254" ht="12.75">
      <c r="B254" s="6" t="s">
        <v>31</v>
      </c>
    </row>
    <row r="255" spans="1:13" ht="15">
      <c r="A255" s="43" t="s">
        <v>224</v>
      </c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4" ht="12.75">
      <c r="A256" s="15" t="s">
        <v>24</v>
      </c>
      <c r="B256" s="12" t="s">
        <v>226</v>
      </c>
      <c r="C256" s="12" t="s">
        <v>227</v>
      </c>
      <c r="D256" s="12" t="s">
        <v>228</v>
      </c>
      <c r="E256" s="12" t="str">
        <f>"0,5834"</f>
        <v>0,5834</v>
      </c>
      <c r="F256" s="12" t="s">
        <v>15</v>
      </c>
      <c r="G256" s="12" t="s">
        <v>229</v>
      </c>
      <c r="H256" s="13" t="s">
        <v>58</v>
      </c>
      <c r="I256" s="13" t="s">
        <v>59</v>
      </c>
      <c r="J256" s="13" t="s">
        <v>80</v>
      </c>
      <c r="K256" s="15"/>
      <c r="L256" s="15" t="str">
        <f>"150,0"</f>
        <v>150,0</v>
      </c>
      <c r="M256" s="15" t="str">
        <f>"87,5100"</f>
        <v>87,5100</v>
      </c>
      <c r="N256" s="26" t="s">
        <v>37</v>
      </c>
    </row>
    <row r="257" spans="1:14" ht="12.75">
      <c r="A257" s="23" t="s">
        <v>24</v>
      </c>
      <c r="B257" s="20" t="s">
        <v>1101</v>
      </c>
      <c r="C257" s="20" t="s">
        <v>1102</v>
      </c>
      <c r="D257" s="20" t="s">
        <v>1103</v>
      </c>
      <c r="E257" s="20" t="str">
        <f>"0,5827"</f>
        <v>0,5827</v>
      </c>
      <c r="F257" s="27" t="s">
        <v>335</v>
      </c>
      <c r="G257" s="20" t="s">
        <v>336</v>
      </c>
      <c r="H257" s="21" t="s">
        <v>146</v>
      </c>
      <c r="I257" s="21" t="s">
        <v>255</v>
      </c>
      <c r="J257" s="21" t="s">
        <v>118</v>
      </c>
      <c r="K257" s="23"/>
      <c r="L257" s="23" t="str">
        <f>"215,0"</f>
        <v>215,0</v>
      </c>
      <c r="M257" s="23" t="str">
        <f>"125,2805"</f>
        <v>125,2805</v>
      </c>
      <c r="N257" s="27" t="s">
        <v>37</v>
      </c>
    </row>
    <row r="258" spans="1:14" ht="12.75">
      <c r="A258" s="23" t="s">
        <v>38</v>
      </c>
      <c r="B258" s="20" t="s">
        <v>1104</v>
      </c>
      <c r="C258" s="20" t="s">
        <v>1105</v>
      </c>
      <c r="D258" s="20" t="s">
        <v>1106</v>
      </c>
      <c r="E258" s="20" t="str">
        <f>"0,5769"</f>
        <v>0,5769</v>
      </c>
      <c r="F258" s="27" t="s">
        <v>15</v>
      </c>
      <c r="G258" s="20" t="s">
        <v>16</v>
      </c>
      <c r="H258" s="21" t="s">
        <v>146</v>
      </c>
      <c r="I258" s="21" t="s">
        <v>117</v>
      </c>
      <c r="J258" s="21" t="s">
        <v>118</v>
      </c>
      <c r="K258" s="23"/>
      <c r="L258" s="23" t="str">
        <f>"215,0"</f>
        <v>215,0</v>
      </c>
      <c r="M258" s="23" t="str">
        <f>"124,0335"</f>
        <v>124,0335</v>
      </c>
      <c r="N258" s="27" t="s">
        <v>37</v>
      </c>
    </row>
    <row r="259" spans="1:14" ht="12.75">
      <c r="A259" s="23" t="s">
        <v>72</v>
      </c>
      <c r="B259" s="20" t="s">
        <v>380</v>
      </c>
      <c r="C259" s="20" t="s">
        <v>381</v>
      </c>
      <c r="D259" s="20" t="s">
        <v>382</v>
      </c>
      <c r="E259" s="20" t="str">
        <f>"0,5817"</f>
        <v>0,5817</v>
      </c>
      <c r="F259" s="27" t="s">
        <v>165</v>
      </c>
      <c r="G259" s="20" t="s">
        <v>383</v>
      </c>
      <c r="H259" s="21" t="s">
        <v>124</v>
      </c>
      <c r="I259" s="22" t="s">
        <v>146</v>
      </c>
      <c r="J259" s="21" t="s">
        <v>146</v>
      </c>
      <c r="K259" s="23"/>
      <c r="L259" s="23" t="str">
        <f>"205,0"</f>
        <v>205,0</v>
      </c>
      <c r="M259" s="23" t="str">
        <f>"119,2485"</f>
        <v>119,2485</v>
      </c>
      <c r="N259" s="27" t="s">
        <v>384</v>
      </c>
    </row>
    <row r="260" spans="1:14" ht="12.75">
      <c r="A260" s="23" t="s">
        <v>74</v>
      </c>
      <c r="B260" s="20" t="s">
        <v>1107</v>
      </c>
      <c r="C260" s="20" t="s">
        <v>1108</v>
      </c>
      <c r="D260" s="20" t="s">
        <v>1109</v>
      </c>
      <c r="E260" s="20" t="str">
        <f>"0,5821"</f>
        <v>0,5821</v>
      </c>
      <c r="F260" s="20" t="s">
        <v>115</v>
      </c>
      <c r="G260" s="20" t="s">
        <v>483</v>
      </c>
      <c r="H260" s="21" t="s">
        <v>138</v>
      </c>
      <c r="I260" s="21" t="s">
        <v>125</v>
      </c>
      <c r="J260" s="22" t="s">
        <v>146</v>
      </c>
      <c r="K260" s="23"/>
      <c r="L260" s="23" t="str">
        <f>"202,5"</f>
        <v>202,5</v>
      </c>
      <c r="M260" s="23" t="str">
        <f>"117,8752"</f>
        <v>117,8752</v>
      </c>
      <c r="N260" s="27" t="s">
        <v>370</v>
      </c>
    </row>
    <row r="261" spans="1:14" ht="12.75">
      <c r="A261" s="23" t="s">
        <v>85</v>
      </c>
      <c r="B261" s="20" t="s">
        <v>1110</v>
      </c>
      <c r="C261" s="20" t="s">
        <v>421</v>
      </c>
      <c r="D261" s="20" t="s">
        <v>1111</v>
      </c>
      <c r="E261" s="20" t="str">
        <f>"0,5782"</f>
        <v>0,5782</v>
      </c>
      <c r="F261" s="20" t="s">
        <v>15</v>
      </c>
      <c r="G261" s="20" t="s">
        <v>435</v>
      </c>
      <c r="H261" s="21" t="s">
        <v>123</v>
      </c>
      <c r="I261" s="21" t="s">
        <v>138</v>
      </c>
      <c r="J261" s="22" t="s">
        <v>125</v>
      </c>
      <c r="K261" s="23"/>
      <c r="L261" s="23" t="str">
        <f>"192,5"</f>
        <v>192,5</v>
      </c>
      <c r="M261" s="23" t="str">
        <f>"111,3035"</f>
        <v>111,3035</v>
      </c>
      <c r="N261" s="27" t="s">
        <v>436</v>
      </c>
    </row>
    <row r="262" spans="1:14" ht="12.75">
      <c r="A262" s="23" t="s">
        <v>136</v>
      </c>
      <c r="B262" s="20" t="s">
        <v>1112</v>
      </c>
      <c r="C262" s="20" t="s">
        <v>1113</v>
      </c>
      <c r="D262" s="20" t="s">
        <v>1114</v>
      </c>
      <c r="E262" s="20" t="str">
        <f>"0,5725"</f>
        <v>0,5725</v>
      </c>
      <c r="F262" s="27" t="s">
        <v>165</v>
      </c>
      <c r="G262" s="27" t="s">
        <v>81</v>
      </c>
      <c r="H262" s="21" t="s">
        <v>123</v>
      </c>
      <c r="I262" s="22" t="s">
        <v>124</v>
      </c>
      <c r="J262" s="22" t="s">
        <v>125</v>
      </c>
      <c r="K262" s="23"/>
      <c r="L262" s="23" t="str">
        <f>"185,0"</f>
        <v>185,0</v>
      </c>
      <c r="M262" s="23" t="str">
        <f>"105,9125"</f>
        <v>105,9125</v>
      </c>
      <c r="N262" s="27" t="s">
        <v>37</v>
      </c>
    </row>
    <row r="263" spans="1:14" ht="12.75">
      <c r="A263" s="23" t="s">
        <v>139</v>
      </c>
      <c r="B263" s="20" t="s">
        <v>1115</v>
      </c>
      <c r="C263" s="20" t="s">
        <v>1116</v>
      </c>
      <c r="D263" s="20" t="s">
        <v>1117</v>
      </c>
      <c r="E263" s="20" t="str">
        <f>"0,5791"</f>
        <v>0,5791</v>
      </c>
      <c r="F263" s="20" t="s">
        <v>15</v>
      </c>
      <c r="G263" s="20" t="s">
        <v>16</v>
      </c>
      <c r="H263" s="22" t="s">
        <v>105</v>
      </c>
      <c r="I263" s="22" t="s">
        <v>189</v>
      </c>
      <c r="J263" s="21" t="s">
        <v>189</v>
      </c>
      <c r="K263" s="23"/>
      <c r="L263" s="23" t="str">
        <f>"177,5"</f>
        <v>177,5</v>
      </c>
      <c r="M263" s="23" t="str">
        <f>"102,7903"</f>
        <v>102,7903</v>
      </c>
      <c r="N263" s="27" t="s">
        <v>37</v>
      </c>
    </row>
    <row r="264" spans="1:14" ht="12.75">
      <c r="A264" s="23" t="s">
        <v>24</v>
      </c>
      <c r="B264" s="20" t="s">
        <v>1107</v>
      </c>
      <c r="C264" s="20" t="s">
        <v>1118</v>
      </c>
      <c r="D264" s="20" t="s">
        <v>1109</v>
      </c>
      <c r="E264" s="20" t="str">
        <f>"0,5821"</f>
        <v>0,5821</v>
      </c>
      <c r="F264" s="20" t="s">
        <v>115</v>
      </c>
      <c r="G264" s="20" t="s">
        <v>483</v>
      </c>
      <c r="H264" s="21" t="s">
        <v>138</v>
      </c>
      <c r="I264" s="21" t="s">
        <v>125</v>
      </c>
      <c r="J264" s="22" t="s">
        <v>146</v>
      </c>
      <c r="K264" s="23"/>
      <c r="L264" s="23" t="str">
        <f>"202,5"</f>
        <v>202,5</v>
      </c>
      <c r="M264" s="23" t="str">
        <f>"117,8752"</f>
        <v>117,8752</v>
      </c>
      <c r="N264" s="27" t="s">
        <v>370</v>
      </c>
    </row>
    <row r="265" spans="1:14" ht="12.75">
      <c r="A265" s="23" t="s">
        <v>38</v>
      </c>
      <c r="B265" s="20" t="s">
        <v>1119</v>
      </c>
      <c r="C265" s="20" t="s">
        <v>1120</v>
      </c>
      <c r="D265" s="20" t="s">
        <v>1121</v>
      </c>
      <c r="E265" s="20" t="str">
        <f>"0,5730"</f>
        <v>0,5730</v>
      </c>
      <c r="F265" s="20" t="s">
        <v>15</v>
      </c>
      <c r="G265" s="20" t="s">
        <v>182</v>
      </c>
      <c r="H265" s="22" t="s">
        <v>132</v>
      </c>
      <c r="I265" s="21" t="s">
        <v>132</v>
      </c>
      <c r="J265" s="21" t="s">
        <v>125</v>
      </c>
      <c r="K265" s="23"/>
      <c r="L265" s="23" t="str">
        <f>"202,5"</f>
        <v>202,5</v>
      </c>
      <c r="M265" s="23" t="str">
        <f>"117,6570"</f>
        <v>117,6570</v>
      </c>
      <c r="N265" s="27" t="s">
        <v>37</v>
      </c>
    </row>
    <row r="266" spans="1:14" ht="12.75">
      <c r="A266" s="18" t="s">
        <v>72</v>
      </c>
      <c r="B266" s="16" t="s">
        <v>1122</v>
      </c>
      <c r="C266" s="16" t="s">
        <v>1123</v>
      </c>
      <c r="D266" s="16" t="s">
        <v>1124</v>
      </c>
      <c r="E266" s="16" t="str">
        <f>"0,5733"</f>
        <v>0,5733</v>
      </c>
      <c r="F266" s="16" t="s">
        <v>15</v>
      </c>
      <c r="G266" s="16" t="s">
        <v>435</v>
      </c>
      <c r="H266" s="17" t="s">
        <v>131</v>
      </c>
      <c r="I266" s="17" t="s">
        <v>132</v>
      </c>
      <c r="J266" s="19" t="s">
        <v>376</v>
      </c>
      <c r="K266" s="18"/>
      <c r="L266" s="18" t="str">
        <f>"190,0"</f>
        <v>190,0</v>
      </c>
      <c r="M266" s="18" t="str">
        <f>"111,9770"</f>
        <v>111,9770</v>
      </c>
      <c r="N266" s="28" t="s">
        <v>1125</v>
      </c>
    </row>
    <row r="267" ht="12.75">
      <c r="B267" s="6" t="s">
        <v>31</v>
      </c>
    </row>
    <row r="268" spans="1:13" ht="15">
      <c r="A268" s="43" t="s">
        <v>231</v>
      </c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4" ht="12.75">
      <c r="A269" s="15" t="s">
        <v>24</v>
      </c>
      <c r="B269" s="12" t="s">
        <v>1126</v>
      </c>
      <c r="C269" s="12" t="s">
        <v>1127</v>
      </c>
      <c r="D269" s="12" t="s">
        <v>1128</v>
      </c>
      <c r="E269" s="12" t="str">
        <f>"0,5610"</f>
        <v>0,5610</v>
      </c>
      <c r="F269" s="12" t="s">
        <v>15</v>
      </c>
      <c r="G269" s="12" t="s">
        <v>1129</v>
      </c>
      <c r="H269" s="13" t="s">
        <v>109</v>
      </c>
      <c r="I269" s="13" t="s">
        <v>135</v>
      </c>
      <c r="J269" s="14" t="s">
        <v>112</v>
      </c>
      <c r="K269" s="15"/>
      <c r="L269" s="15" t="str">
        <f>"235,0"</f>
        <v>235,0</v>
      </c>
      <c r="M269" s="15" t="str">
        <f>"131,8350"</f>
        <v>131,8350</v>
      </c>
      <c r="N269" s="26" t="s">
        <v>1130</v>
      </c>
    </row>
    <row r="270" spans="1:14" ht="12.75">
      <c r="A270" s="23" t="s">
        <v>38</v>
      </c>
      <c r="B270" s="20" t="s">
        <v>387</v>
      </c>
      <c r="C270" s="20" t="s">
        <v>388</v>
      </c>
      <c r="D270" s="20" t="s">
        <v>471</v>
      </c>
      <c r="E270" s="20" t="str">
        <f>"0,5594"</f>
        <v>0,5594</v>
      </c>
      <c r="F270" s="27" t="s">
        <v>165</v>
      </c>
      <c r="G270" s="20" t="s">
        <v>383</v>
      </c>
      <c r="H270" s="21" t="s">
        <v>104</v>
      </c>
      <c r="I270" s="21" t="s">
        <v>105</v>
      </c>
      <c r="J270" s="22" t="s">
        <v>102</v>
      </c>
      <c r="K270" s="23"/>
      <c r="L270" s="23" t="str">
        <f>"170,0"</f>
        <v>170,0</v>
      </c>
      <c r="M270" s="23" t="str">
        <f>"95,0980"</f>
        <v>95,0980</v>
      </c>
      <c r="N270" s="27" t="s">
        <v>37</v>
      </c>
    </row>
    <row r="271" spans="1:14" ht="12.75">
      <c r="A271" s="23" t="s">
        <v>13</v>
      </c>
      <c r="B271" s="20" t="s">
        <v>1131</v>
      </c>
      <c r="C271" s="20" t="s">
        <v>1132</v>
      </c>
      <c r="D271" s="20" t="s">
        <v>1133</v>
      </c>
      <c r="E271" s="20" t="str">
        <f>"0,5692"</f>
        <v>0,5692</v>
      </c>
      <c r="F271" s="20" t="s">
        <v>15</v>
      </c>
      <c r="G271" s="20" t="s">
        <v>16</v>
      </c>
      <c r="H271" s="22" t="s">
        <v>105</v>
      </c>
      <c r="I271" s="22" t="s">
        <v>131</v>
      </c>
      <c r="J271" s="22" t="s">
        <v>131</v>
      </c>
      <c r="K271" s="23"/>
      <c r="L271" s="23" t="s">
        <v>23</v>
      </c>
      <c r="M271" s="23" t="str">
        <f>"0,0000"</f>
        <v>0,0000</v>
      </c>
      <c r="N271" s="27" t="s">
        <v>37</v>
      </c>
    </row>
    <row r="272" spans="1:14" ht="12.75">
      <c r="A272" s="23" t="s">
        <v>24</v>
      </c>
      <c r="B272" s="20" t="s">
        <v>1134</v>
      </c>
      <c r="C272" s="20" t="s">
        <v>1135</v>
      </c>
      <c r="D272" s="20" t="s">
        <v>385</v>
      </c>
      <c r="E272" s="20" t="str">
        <f>"0,5686"</f>
        <v>0,5686</v>
      </c>
      <c r="F272" s="20" t="s">
        <v>15</v>
      </c>
      <c r="G272" s="20" t="s">
        <v>16</v>
      </c>
      <c r="H272" s="21" t="s">
        <v>105</v>
      </c>
      <c r="I272" s="21" t="s">
        <v>102</v>
      </c>
      <c r="J272" s="22" t="s">
        <v>131</v>
      </c>
      <c r="K272" s="23"/>
      <c r="L272" s="23" t="str">
        <f>"175,0"</f>
        <v>175,0</v>
      </c>
      <c r="M272" s="23" t="str">
        <f>"122,1921"</f>
        <v>122,1921</v>
      </c>
      <c r="N272" s="27" t="s">
        <v>37</v>
      </c>
    </row>
    <row r="273" spans="1:14" ht="12.75">
      <c r="A273" s="18" t="s">
        <v>24</v>
      </c>
      <c r="B273" s="16" t="s">
        <v>1136</v>
      </c>
      <c r="C273" s="16" t="s">
        <v>1137</v>
      </c>
      <c r="D273" s="16" t="s">
        <v>1138</v>
      </c>
      <c r="E273" s="16" t="str">
        <f>"0,5685"</f>
        <v>0,5685</v>
      </c>
      <c r="F273" s="16" t="s">
        <v>15</v>
      </c>
      <c r="G273" s="16" t="s">
        <v>881</v>
      </c>
      <c r="H273" s="17" t="s">
        <v>61</v>
      </c>
      <c r="I273" s="17" t="s">
        <v>22</v>
      </c>
      <c r="J273" s="17" t="s">
        <v>63</v>
      </c>
      <c r="K273" s="18"/>
      <c r="L273" s="18" t="str">
        <f>"107,5"</f>
        <v>107,5</v>
      </c>
      <c r="M273" s="18" t="str">
        <f>"93,6874"</f>
        <v>93,6874</v>
      </c>
      <c r="N273" s="28" t="s">
        <v>37</v>
      </c>
    </row>
    <row r="274" ht="12.75">
      <c r="B274" s="6" t="s">
        <v>31</v>
      </c>
    </row>
    <row r="275" spans="1:13" ht="15">
      <c r="A275" s="43" t="s">
        <v>232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4" ht="12.75">
      <c r="A276" s="15" t="s">
        <v>24</v>
      </c>
      <c r="B276" s="12" t="s">
        <v>1139</v>
      </c>
      <c r="C276" s="12" t="s">
        <v>1140</v>
      </c>
      <c r="D276" s="12" t="s">
        <v>1141</v>
      </c>
      <c r="E276" s="12" t="str">
        <f>"0,5569"</f>
        <v>0,5569</v>
      </c>
      <c r="F276" s="29" t="s">
        <v>15</v>
      </c>
      <c r="G276" s="12" t="s">
        <v>351</v>
      </c>
      <c r="H276" s="13" t="s">
        <v>131</v>
      </c>
      <c r="I276" s="13" t="s">
        <v>123</v>
      </c>
      <c r="J276" s="15"/>
      <c r="K276" s="15"/>
      <c r="L276" s="15" t="str">
        <f>"185,0"</f>
        <v>185,0</v>
      </c>
      <c r="M276" s="15" t="s">
        <v>1142</v>
      </c>
      <c r="N276" s="26" t="s">
        <v>37</v>
      </c>
    </row>
    <row r="277" spans="1:14" ht="12.75">
      <c r="A277" s="23" t="s">
        <v>38</v>
      </c>
      <c r="B277" s="20" t="s">
        <v>1143</v>
      </c>
      <c r="C277" s="20" t="s">
        <v>1144</v>
      </c>
      <c r="D277" s="20" t="s">
        <v>1145</v>
      </c>
      <c r="E277" s="20" t="str">
        <f>"0,5498"</f>
        <v>0,5498</v>
      </c>
      <c r="F277" s="20" t="s">
        <v>15</v>
      </c>
      <c r="G277" s="20" t="s">
        <v>435</v>
      </c>
      <c r="H277" s="21" t="s">
        <v>104</v>
      </c>
      <c r="I277" s="22" t="s">
        <v>101</v>
      </c>
      <c r="J277" s="23"/>
      <c r="K277" s="23"/>
      <c r="L277" s="23" t="str">
        <f>"160,0"</f>
        <v>160,0</v>
      </c>
      <c r="M277" s="23" t="str">
        <f>"87,9680"</f>
        <v>87,9680</v>
      </c>
      <c r="N277" s="27" t="s">
        <v>436</v>
      </c>
    </row>
    <row r="278" spans="1:14" ht="12.75">
      <c r="A278" s="23" t="s">
        <v>24</v>
      </c>
      <c r="B278" s="20" t="s">
        <v>1146</v>
      </c>
      <c r="C278" s="20" t="s">
        <v>1147</v>
      </c>
      <c r="D278" s="20" t="s">
        <v>1148</v>
      </c>
      <c r="E278" s="20" t="str">
        <f>"0,5523"</f>
        <v>0,5523</v>
      </c>
      <c r="F278" s="20" t="s">
        <v>15</v>
      </c>
      <c r="G278" s="20" t="s">
        <v>1149</v>
      </c>
      <c r="H278" s="21" t="s">
        <v>120</v>
      </c>
      <c r="I278" s="21" t="s">
        <v>112</v>
      </c>
      <c r="J278" s="23"/>
      <c r="K278" s="23"/>
      <c r="L278" s="23" t="str">
        <f>"240,0"</f>
        <v>240,0</v>
      </c>
      <c r="M278" s="23" t="str">
        <f>"142,8910"</f>
        <v>142,8910</v>
      </c>
      <c r="N278" s="27" t="s">
        <v>37</v>
      </c>
    </row>
    <row r="279" spans="1:14" ht="12.75">
      <c r="A279" s="18" t="s">
        <v>38</v>
      </c>
      <c r="B279" s="16" t="s">
        <v>1139</v>
      </c>
      <c r="C279" s="16" t="s">
        <v>1150</v>
      </c>
      <c r="D279" s="16" t="s">
        <v>1141</v>
      </c>
      <c r="E279" s="16" t="str">
        <f>"0,5569"</f>
        <v>0,5569</v>
      </c>
      <c r="F279" s="16" t="s">
        <v>15</v>
      </c>
      <c r="G279" s="16" t="s">
        <v>351</v>
      </c>
      <c r="H279" s="17" t="s">
        <v>131</v>
      </c>
      <c r="I279" s="17" t="s">
        <v>123</v>
      </c>
      <c r="J279" s="18"/>
      <c r="K279" s="18"/>
      <c r="L279" s="18" t="str">
        <f>"185,0"</f>
        <v>185,0</v>
      </c>
      <c r="M279" s="18" t="str">
        <f>"107,5597"</f>
        <v>107,5597</v>
      </c>
      <c r="N279" s="28" t="s">
        <v>37</v>
      </c>
    </row>
    <row r="280" ht="12.75">
      <c r="B280" s="6" t="s">
        <v>31</v>
      </c>
    </row>
    <row r="281" ht="12.75">
      <c r="B281" s="6" t="s">
        <v>31</v>
      </c>
    </row>
    <row r="282" spans="2:4" ht="18">
      <c r="B282" s="6" t="s">
        <v>31</v>
      </c>
      <c r="C282" s="24" t="s">
        <v>236</v>
      </c>
      <c r="D282" s="24"/>
    </row>
    <row r="283" spans="2:4" ht="15">
      <c r="B283" s="6" t="s">
        <v>31</v>
      </c>
      <c r="C283" s="41" t="s">
        <v>237</v>
      </c>
      <c r="D283" s="41"/>
    </row>
    <row r="284" spans="2:4" ht="14.25">
      <c r="B284" s="6" t="s">
        <v>31</v>
      </c>
      <c r="C284" s="25"/>
      <c r="D284" s="25" t="s">
        <v>238</v>
      </c>
    </row>
    <row r="285" spans="2:7" ht="15">
      <c r="B285" s="6" t="s">
        <v>31</v>
      </c>
      <c r="C285" s="5" t="s">
        <v>1</v>
      </c>
      <c r="D285" s="5" t="s">
        <v>239</v>
      </c>
      <c r="E285" s="5" t="s">
        <v>240</v>
      </c>
      <c r="F285" s="5" t="s">
        <v>8</v>
      </c>
      <c r="G285" s="5" t="s">
        <v>4</v>
      </c>
    </row>
    <row r="286" spans="2:7" ht="12.75">
      <c r="B286" s="6" t="s">
        <v>31</v>
      </c>
      <c r="C286" s="6" t="s">
        <v>535</v>
      </c>
      <c r="D286" s="6" t="s">
        <v>238</v>
      </c>
      <c r="E286" s="7" t="s">
        <v>241</v>
      </c>
      <c r="F286" s="7" t="s">
        <v>48</v>
      </c>
      <c r="G286" s="7" t="s">
        <v>1151</v>
      </c>
    </row>
    <row r="287" spans="2:7" ht="12.75">
      <c r="B287" s="6" t="s">
        <v>31</v>
      </c>
      <c r="C287" s="6" t="s">
        <v>591</v>
      </c>
      <c r="D287" s="6" t="s">
        <v>238</v>
      </c>
      <c r="E287" s="7" t="s">
        <v>67</v>
      </c>
      <c r="F287" s="7" t="s">
        <v>18</v>
      </c>
      <c r="G287" s="7" t="s">
        <v>1152</v>
      </c>
    </row>
    <row r="288" spans="2:7" ht="12.75">
      <c r="B288" s="6" t="s">
        <v>31</v>
      </c>
      <c r="C288" s="6" t="s">
        <v>324</v>
      </c>
      <c r="D288" s="6" t="s">
        <v>238</v>
      </c>
      <c r="E288" s="7" t="s">
        <v>389</v>
      </c>
      <c r="F288" s="7" t="s">
        <v>91</v>
      </c>
      <c r="G288" s="7" t="s">
        <v>1153</v>
      </c>
    </row>
    <row r="289" ht="12.75">
      <c r="B289" s="6" t="s">
        <v>31</v>
      </c>
    </row>
    <row r="290" spans="2:4" ht="15">
      <c r="B290" s="6" t="s">
        <v>31</v>
      </c>
      <c r="C290" s="41" t="s">
        <v>242</v>
      </c>
      <c r="D290" s="41"/>
    </row>
    <row r="291" spans="2:4" ht="14.25">
      <c r="B291" s="6" t="s">
        <v>31</v>
      </c>
      <c r="C291" s="25"/>
      <c r="D291" s="25" t="s">
        <v>243</v>
      </c>
    </row>
    <row r="292" spans="2:7" ht="15">
      <c r="B292" s="6" t="s">
        <v>31</v>
      </c>
      <c r="C292" s="5" t="s">
        <v>1</v>
      </c>
      <c r="D292" s="5" t="s">
        <v>239</v>
      </c>
      <c r="E292" s="5" t="s">
        <v>240</v>
      </c>
      <c r="F292" s="5" t="s">
        <v>8</v>
      </c>
      <c r="G292" s="5" t="s">
        <v>4</v>
      </c>
    </row>
    <row r="293" spans="2:7" ht="12.75">
      <c r="B293" s="6" t="s">
        <v>31</v>
      </c>
      <c r="C293" s="6" t="s">
        <v>360</v>
      </c>
      <c r="D293" s="6" t="s">
        <v>244</v>
      </c>
      <c r="E293" s="7" t="s">
        <v>18</v>
      </c>
      <c r="F293" s="7" t="s">
        <v>105</v>
      </c>
      <c r="G293" s="7" t="s">
        <v>1154</v>
      </c>
    </row>
    <row r="294" spans="2:7" ht="12.75">
      <c r="B294" s="6" t="s">
        <v>31</v>
      </c>
      <c r="C294" s="6" t="s">
        <v>680</v>
      </c>
      <c r="D294" s="6" t="s">
        <v>244</v>
      </c>
      <c r="E294" s="7" t="s">
        <v>73</v>
      </c>
      <c r="F294" s="7" t="s">
        <v>69</v>
      </c>
      <c r="G294" s="7" t="s">
        <v>1155</v>
      </c>
    </row>
    <row r="295" spans="2:7" ht="12.75">
      <c r="B295" s="6" t="s">
        <v>31</v>
      </c>
      <c r="C295" s="6" t="s">
        <v>648</v>
      </c>
      <c r="D295" s="6" t="s">
        <v>1156</v>
      </c>
      <c r="E295" s="7" t="s">
        <v>67</v>
      </c>
      <c r="F295" s="7" t="s">
        <v>64</v>
      </c>
      <c r="G295" s="7" t="s">
        <v>1157</v>
      </c>
    </row>
    <row r="296" ht="12.75">
      <c r="B296" s="6" t="s">
        <v>31</v>
      </c>
    </row>
    <row r="297" spans="2:4" ht="14.25">
      <c r="B297" s="6" t="s">
        <v>31</v>
      </c>
      <c r="C297" s="25"/>
      <c r="D297" s="25" t="s">
        <v>245</v>
      </c>
    </row>
    <row r="298" spans="2:7" ht="15">
      <c r="B298" s="6" t="s">
        <v>31</v>
      </c>
      <c r="C298" s="5" t="s">
        <v>1</v>
      </c>
      <c r="D298" s="5" t="s">
        <v>239</v>
      </c>
      <c r="E298" s="5" t="s">
        <v>240</v>
      </c>
      <c r="F298" s="5" t="s">
        <v>8</v>
      </c>
      <c r="G298" s="5" t="s">
        <v>4</v>
      </c>
    </row>
    <row r="299" spans="2:7" ht="12.75">
      <c r="B299" s="6" t="s">
        <v>31</v>
      </c>
      <c r="C299" s="6" t="s">
        <v>642</v>
      </c>
      <c r="D299" s="6" t="s">
        <v>245</v>
      </c>
      <c r="E299" s="7" t="s">
        <v>26</v>
      </c>
      <c r="F299" s="7" t="s">
        <v>57</v>
      </c>
      <c r="G299" s="7" t="s">
        <v>1158</v>
      </c>
    </row>
    <row r="300" spans="2:7" ht="12.75">
      <c r="B300" s="6" t="s">
        <v>31</v>
      </c>
      <c r="C300" s="6" t="s">
        <v>689</v>
      </c>
      <c r="D300" s="6" t="s">
        <v>245</v>
      </c>
      <c r="E300" s="7" t="s">
        <v>73</v>
      </c>
      <c r="F300" s="7" t="s">
        <v>92</v>
      </c>
      <c r="G300" s="7" t="s">
        <v>1159</v>
      </c>
    </row>
    <row r="301" spans="2:7" ht="12.75">
      <c r="B301" s="6" t="s">
        <v>31</v>
      </c>
      <c r="C301" s="6" t="s">
        <v>1030</v>
      </c>
      <c r="D301" s="6" t="s">
        <v>245</v>
      </c>
      <c r="E301" s="7" t="s">
        <v>33</v>
      </c>
      <c r="F301" s="7" t="s">
        <v>123</v>
      </c>
      <c r="G301" s="7" t="s">
        <v>1160</v>
      </c>
    </row>
    <row r="302" ht="12.75">
      <c r="B302" s="6" t="s">
        <v>31</v>
      </c>
    </row>
    <row r="303" spans="2:4" ht="14.25">
      <c r="B303" s="6" t="s">
        <v>31</v>
      </c>
      <c r="C303" s="25"/>
      <c r="D303" s="25" t="s">
        <v>238</v>
      </c>
    </row>
    <row r="304" spans="2:7" ht="15">
      <c r="B304" s="6" t="s">
        <v>31</v>
      </c>
      <c r="C304" s="5" t="s">
        <v>1</v>
      </c>
      <c r="D304" s="5" t="s">
        <v>239</v>
      </c>
      <c r="E304" s="5" t="s">
        <v>240</v>
      </c>
      <c r="F304" s="5" t="s">
        <v>8</v>
      </c>
      <c r="G304" s="5" t="s">
        <v>4</v>
      </c>
    </row>
    <row r="305" spans="2:7" ht="12.75">
      <c r="B305" s="6" t="s">
        <v>31</v>
      </c>
      <c r="C305" s="6" t="s">
        <v>1126</v>
      </c>
      <c r="D305" s="6" t="s">
        <v>238</v>
      </c>
      <c r="E305" s="7" t="s">
        <v>58</v>
      </c>
      <c r="F305" s="7" t="s">
        <v>135</v>
      </c>
      <c r="G305" s="7" t="s">
        <v>1161</v>
      </c>
    </row>
    <row r="306" spans="2:7" ht="12.75">
      <c r="B306" s="6" t="s">
        <v>31</v>
      </c>
      <c r="C306" s="6" t="s">
        <v>364</v>
      </c>
      <c r="D306" s="6" t="s">
        <v>238</v>
      </c>
      <c r="E306" s="7" t="s">
        <v>18</v>
      </c>
      <c r="F306" s="7" t="s">
        <v>116</v>
      </c>
      <c r="G306" s="7" t="s">
        <v>1162</v>
      </c>
    </row>
    <row r="307" spans="2:7" ht="12.75">
      <c r="B307" s="6" t="s">
        <v>31</v>
      </c>
      <c r="C307" s="6" t="s">
        <v>1044</v>
      </c>
      <c r="D307" s="6" t="s">
        <v>238</v>
      </c>
      <c r="E307" s="7" t="s">
        <v>33</v>
      </c>
      <c r="F307" s="7" t="s">
        <v>117</v>
      </c>
      <c r="G307" s="7" t="s">
        <v>1163</v>
      </c>
    </row>
    <row r="308" ht="12.75">
      <c r="B308" s="6" t="s">
        <v>31</v>
      </c>
    </row>
    <row r="309" spans="2:4" ht="14.25">
      <c r="B309" s="6" t="s">
        <v>31</v>
      </c>
      <c r="C309" s="25"/>
      <c r="D309" s="25" t="s">
        <v>246</v>
      </c>
    </row>
    <row r="310" spans="2:7" ht="15">
      <c r="B310" s="6" t="s">
        <v>31</v>
      </c>
      <c r="C310" s="5" t="s">
        <v>1</v>
      </c>
      <c r="D310" s="5" t="s">
        <v>239</v>
      </c>
      <c r="E310" s="5" t="s">
        <v>240</v>
      </c>
      <c r="F310" s="5" t="s">
        <v>8</v>
      </c>
      <c r="G310" s="5" t="s">
        <v>4</v>
      </c>
    </row>
    <row r="311" spans="2:7" ht="12.75">
      <c r="B311" s="6" t="s">
        <v>31</v>
      </c>
      <c r="C311" s="6" t="s">
        <v>1026</v>
      </c>
      <c r="D311" s="6" t="s">
        <v>319</v>
      </c>
      <c r="E311" s="7" t="s">
        <v>61</v>
      </c>
      <c r="F311" s="7" t="s">
        <v>69</v>
      </c>
      <c r="G311" s="7" t="s">
        <v>1164</v>
      </c>
    </row>
    <row r="312" spans="2:7" ht="12.75">
      <c r="B312" s="6" t="s">
        <v>31</v>
      </c>
      <c r="C312" s="6" t="s">
        <v>1146</v>
      </c>
      <c r="D312" s="6" t="s">
        <v>317</v>
      </c>
      <c r="E312" s="7" t="s">
        <v>316</v>
      </c>
      <c r="F312" s="7" t="s">
        <v>112</v>
      </c>
      <c r="G312" s="7" t="s">
        <v>1165</v>
      </c>
    </row>
    <row r="313" spans="2:7" ht="12.75">
      <c r="B313" s="6" t="s">
        <v>31</v>
      </c>
      <c r="C313" s="6" t="s">
        <v>843</v>
      </c>
      <c r="D313" s="6" t="s">
        <v>318</v>
      </c>
      <c r="E313" s="7" t="s">
        <v>46</v>
      </c>
      <c r="F313" s="7" t="s">
        <v>59</v>
      </c>
      <c r="G313" s="7" t="s">
        <v>1166</v>
      </c>
    </row>
    <row r="314" ht="12.75">
      <c r="B314" s="6" t="s">
        <v>31</v>
      </c>
    </row>
  </sheetData>
  <sheetProtection/>
  <mergeCells count="31">
    <mergeCell ref="A1:N2"/>
    <mergeCell ref="A3:A4"/>
    <mergeCell ref="C3:C4"/>
    <mergeCell ref="D3:D4"/>
    <mergeCell ref="E3:E4"/>
    <mergeCell ref="F3:F4"/>
    <mergeCell ref="G3:G4"/>
    <mergeCell ref="H3:K3"/>
    <mergeCell ref="A63:M63"/>
    <mergeCell ref="L3:L4"/>
    <mergeCell ref="M3:M4"/>
    <mergeCell ref="N3:N4"/>
    <mergeCell ref="A5:M5"/>
    <mergeCell ref="A9:M9"/>
    <mergeCell ref="A17:M17"/>
    <mergeCell ref="A223:M223"/>
    <mergeCell ref="A255:M255"/>
    <mergeCell ref="A268:M268"/>
    <mergeCell ref="A275:M275"/>
    <mergeCell ref="B3:B4"/>
    <mergeCell ref="A66:M66"/>
    <mergeCell ref="A72:M72"/>
    <mergeCell ref="A82:M82"/>
    <mergeCell ref="A116:M116"/>
    <mergeCell ref="A149:M149"/>
    <mergeCell ref="A189:M189"/>
    <mergeCell ref="A25:M25"/>
    <mergeCell ref="A32:M32"/>
    <mergeCell ref="A44:M44"/>
    <mergeCell ref="A52:M52"/>
    <mergeCell ref="A58:M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57">
      <selection activeCell="A15" sqref="A15:M15"/>
    </sheetView>
  </sheetViews>
  <sheetFormatPr defaultColWidth="9.125" defaultRowHeight="12.75"/>
  <cols>
    <col min="1" max="1" width="6.375" style="7" bestFit="1" customWidth="1"/>
    <col min="2" max="2" width="25.25390625" style="6" bestFit="1" customWidth="1"/>
    <col min="3" max="3" width="28.875" style="6" bestFit="1" customWidth="1"/>
    <col min="4" max="4" width="15.00390625" style="6" bestFit="1" customWidth="1"/>
    <col min="5" max="5" width="8.375" style="6" customWidth="1"/>
    <col min="6" max="6" width="28.25390625" style="6" customWidth="1"/>
    <col min="7" max="7" width="30.75390625" style="6" customWidth="1"/>
    <col min="8" max="11" width="5.375" style="7" bestFit="1" customWidth="1"/>
    <col min="12" max="12" width="8.125" style="7" customWidth="1"/>
    <col min="13" max="13" width="11.125" style="7" customWidth="1"/>
    <col min="14" max="14" width="25.875" style="6" customWidth="1"/>
    <col min="15" max="16384" width="9.125" style="3" customWidth="1"/>
  </cols>
  <sheetData>
    <row r="1" spans="1:14" s="2" customFormat="1" ht="28.5" customHeight="1">
      <c r="A1" s="46" t="s">
        <v>1167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50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0" t="s">
        <v>24</v>
      </c>
      <c r="B6" s="8" t="s">
        <v>1168</v>
      </c>
      <c r="C6" s="8" t="s">
        <v>1169</v>
      </c>
      <c r="D6" s="8" t="s">
        <v>60</v>
      </c>
      <c r="E6" s="8" t="str">
        <f>"1,1883"</f>
        <v>1,1883</v>
      </c>
      <c r="F6" s="8" t="s">
        <v>15</v>
      </c>
      <c r="G6" s="8" t="s">
        <v>16</v>
      </c>
      <c r="H6" s="9" t="s">
        <v>71</v>
      </c>
      <c r="I6" s="9" t="s">
        <v>67</v>
      </c>
      <c r="J6" s="9" t="s">
        <v>91</v>
      </c>
      <c r="K6" s="10"/>
      <c r="L6" s="10" t="str">
        <f>"72,5"</f>
        <v>72,5</v>
      </c>
      <c r="M6" s="10" t="str">
        <f>"86,1518"</f>
        <v>86,1518</v>
      </c>
      <c r="N6" s="30" t="s">
        <v>1170</v>
      </c>
    </row>
    <row r="7" spans="1:14" s="4" customFormat="1" ht="12.75">
      <c r="A7" s="7"/>
      <c r="B7" s="6" t="s">
        <v>31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  <row r="8" spans="1:13" ht="15">
      <c r="A8" s="43" t="s">
        <v>78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ht="12.75">
      <c r="A9" s="15" t="s">
        <v>24</v>
      </c>
      <c r="B9" s="12" t="s">
        <v>1171</v>
      </c>
      <c r="C9" s="12" t="s">
        <v>1172</v>
      </c>
      <c r="D9" s="12" t="s">
        <v>1173</v>
      </c>
      <c r="E9" s="12" t="str">
        <f>"1,0539"</f>
        <v>1,0539</v>
      </c>
      <c r="F9" s="12" t="s">
        <v>15</v>
      </c>
      <c r="G9" s="12" t="s">
        <v>181</v>
      </c>
      <c r="H9" s="13" t="s">
        <v>111</v>
      </c>
      <c r="I9" s="14" t="s">
        <v>119</v>
      </c>
      <c r="J9" s="14" t="s">
        <v>119</v>
      </c>
      <c r="K9" s="15"/>
      <c r="L9" s="15" t="str">
        <f>"132,5"</f>
        <v>132,5</v>
      </c>
      <c r="M9" s="15" t="str">
        <f>"139,6418"</f>
        <v>139,6418</v>
      </c>
      <c r="N9" s="26" t="s">
        <v>180</v>
      </c>
    </row>
    <row r="10" spans="1:14" ht="12.75">
      <c r="A10" s="23" t="s">
        <v>38</v>
      </c>
      <c r="B10" s="20" t="s">
        <v>1174</v>
      </c>
      <c r="C10" s="20" t="s">
        <v>1175</v>
      </c>
      <c r="D10" s="20" t="s">
        <v>592</v>
      </c>
      <c r="E10" s="20" t="str">
        <f>"1,0676"</f>
        <v>1,0676</v>
      </c>
      <c r="F10" s="20" t="s">
        <v>15</v>
      </c>
      <c r="G10" s="20" t="s">
        <v>225</v>
      </c>
      <c r="H10" s="21" t="s">
        <v>33</v>
      </c>
      <c r="I10" s="21" t="s">
        <v>34</v>
      </c>
      <c r="J10" s="21" t="s">
        <v>36</v>
      </c>
      <c r="K10" s="23"/>
      <c r="L10" s="23" t="str">
        <f>"117,5"</f>
        <v>117,5</v>
      </c>
      <c r="M10" s="23" t="str">
        <f>"125,4430"</f>
        <v>125,4430</v>
      </c>
      <c r="N10" s="27" t="s">
        <v>1176</v>
      </c>
    </row>
    <row r="11" spans="1:14" ht="12.75">
      <c r="A11" s="23" t="s">
        <v>72</v>
      </c>
      <c r="B11" s="20" t="s">
        <v>1177</v>
      </c>
      <c r="C11" s="20" t="s">
        <v>1178</v>
      </c>
      <c r="D11" s="20" t="s">
        <v>1179</v>
      </c>
      <c r="E11" s="20" t="str">
        <f>"1,0328"</f>
        <v>1,0328</v>
      </c>
      <c r="F11" s="20" t="s">
        <v>15</v>
      </c>
      <c r="G11" s="20" t="s">
        <v>16</v>
      </c>
      <c r="H11" s="21" t="s">
        <v>48</v>
      </c>
      <c r="I11" s="21" t="s">
        <v>17</v>
      </c>
      <c r="J11" s="21" t="s">
        <v>55</v>
      </c>
      <c r="K11" s="23"/>
      <c r="L11" s="23" t="str">
        <f>"92,5"</f>
        <v>92,5</v>
      </c>
      <c r="M11" s="23" t="str">
        <f>"95,5340"</f>
        <v>95,5340</v>
      </c>
      <c r="N11" s="27" t="s">
        <v>1180</v>
      </c>
    </row>
    <row r="12" spans="1:14" ht="12.75">
      <c r="A12" s="23" t="s">
        <v>74</v>
      </c>
      <c r="B12" s="20" t="s">
        <v>1181</v>
      </c>
      <c r="C12" s="20" t="s">
        <v>1182</v>
      </c>
      <c r="D12" s="20" t="s">
        <v>1183</v>
      </c>
      <c r="E12" s="20" t="str">
        <f>"1,0306"</f>
        <v>1,0306</v>
      </c>
      <c r="F12" s="20" t="s">
        <v>15</v>
      </c>
      <c r="G12" s="27" t="s">
        <v>267</v>
      </c>
      <c r="H12" s="21" t="s">
        <v>46</v>
      </c>
      <c r="I12" s="21" t="s">
        <v>17</v>
      </c>
      <c r="J12" s="21" t="s">
        <v>18</v>
      </c>
      <c r="K12" s="23"/>
      <c r="L12" s="23" t="str">
        <f>"90,0"</f>
        <v>90,0</v>
      </c>
      <c r="M12" s="23" t="str">
        <f>"92,7540"</f>
        <v>92,7540</v>
      </c>
      <c r="N12" s="27" t="s">
        <v>1184</v>
      </c>
    </row>
    <row r="13" spans="1:14" ht="12.75">
      <c r="A13" s="18" t="s">
        <v>85</v>
      </c>
      <c r="B13" s="16" t="s">
        <v>1185</v>
      </c>
      <c r="C13" s="16" t="s">
        <v>1186</v>
      </c>
      <c r="D13" s="16" t="s">
        <v>1187</v>
      </c>
      <c r="E13" s="16" t="str">
        <f>"1,0444"</f>
        <v>1,0444</v>
      </c>
      <c r="F13" s="16" t="s">
        <v>15</v>
      </c>
      <c r="G13" s="16" t="s">
        <v>582</v>
      </c>
      <c r="H13" s="17" t="s">
        <v>28</v>
      </c>
      <c r="I13" s="17" t="s">
        <v>73</v>
      </c>
      <c r="J13" s="17" t="s">
        <v>48</v>
      </c>
      <c r="K13" s="18"/>
      <c r="L13" s="18" t="str">
        <f>"80,0"</f>
        <v>80,0</v>
      </c>
      <c r="M13" s="18" t="str">
        <f>"83,5520"</f>
        <v>83,5520</v>
      </c>
      <c r="N13" s="28" t="s">
        <v>37</v>
      </c>
    </row>
    <row r="14" ht="12.75">
      <c r="B14" s="6" t="s">
        <v>31</v>
      </c>
    </row>
    <row r="15" spans="1:13" ht="15">
      <c r="A15" s="43" t="s">
        <v>89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2.75">
      <c r="A16" s="10" t="s">
        <v>24</v>
      </c>
      <c r="B16" s="8" t="s">
        <v>473</v>
      </c>
      <c r="C16" s="8" t="s">
        <v>474</v>
      </c>
      <c r="D16" s="8" t="s">
        <v>475</v>
      </c>
      <c r="E16" s="8" t="str">
        <f>"0,9769"</f>
        <v>0,9769</v>
      </c>
      <c r="F16" s="30" t="s">
        <v>461</v>
      </c>
      <c r="G16" s="8" t="s">
        <v>462</v>
      </c>
      <c r="H16" s="9" t="s">
        <v>26</v>
      </c>
      <c r="I16" s="9" t="s">
        <v>28</v>
      </c>
      <c r="J16" s="11" t="s">
        <v>91</v>
      </c>
      <c r="K16" s="10"/>
      <c r="L16" s="10" t="str">
        <f>"70,0"</f>
        <v>70,0</v>
      </c>
      <c r="M16" s="10" t="str">
        <f>"94,3685"</f>
        <v>94,3685</v>
      </c>
      <c r="N16" s="30" t="s">
        <v>37</v>
      </c>
    </row>
    <row r="17" ht="12.75">
      <c r="B17" s="6" t="s">
        <v>31</v>
      </c>
    </row>
    <row r="18" spans="1:13" ht="15">
      <c r="A18" s="43" t="s">
        <v>144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4" ht="12.75">
      <c r="A19" s="10" t="s">
        <v>24</v>
      </c>
      <c r="B19" s="8" t="s">
        <v>1188</v>
      </c>
      <c r="C19" s="8" t="s">
        <v>1189</v>
      </c>
      <c r="D19" s="8" t="s">
        <v>358</v>
      </c>
      <c r="E19" s="8" t="str">
        <f>"0,9150"</f>
        <v>0,9150</v>
      </c>
      <c r="F19" s="8" t="s">
        <v>15</v>
      </c>
      <c r="G19" s="8" t="s">
        <v>1190</v>
      </c>
      <c r="H19" s="9" t="s">
        <v>55</v>
      </c>
      <c r="I19" s="11" t="s">
        <v>96</v>
      </c>
      <c r="J19" s="10"/>
      <c r="K19" s="10"/>
      <c r="L19" s="10" t="str">
        <f>"92,5"</f>
        <v>92,5</v>
      </c>
      <c r="M19" s="10" t="str">
        <f>"84,6375"</f>
        <v>84,6375</v>
      </c>
      <c r="N19" s="30" t="s">
        <v>1191</v>
      </c>
    </row>
    <row r="20" ht="12.75">
      <c r="B20" s="6" t="s">
        <v>31</v>
      </c>
    </row>
    <row r="21" spans="1:13" ht="15">
      <c r="A21" s="43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4" ht="12.75">
      <c r="A22" s="10" t="s">
        <v>24</v>
      </c>
      <c r="B22" s="8" t="s">
        <v>1192</v>
      </c>
      <c r="C22" s="8" t="s">
        <v>1193</v>
      </c>
      <c r="D22" s="8" t="s">
        <v>1194</v>
      </c>
      <c r="E22" s="8" t="str">
        <f>"1,0988"</f>
        <v>1,0988</v>
      </c>
      <c r="F22" s="8" t="s">
        <v>15</v>
      </c>
      <c r="G22" s="8" t="s">
        <v>627</v>
      </c>
      <c r="H22" s="9" t="s">
        <v>51</v>
      </c>
      <c r="I22" s="11" t="s">
        <v>56</v>
      </c>
      <c r="J22" s="9" t="s">
        <v>56</v>
      </c>
      <c r="K22" s="10"/>
      <c r="L22" s="10" t="str">
        <f>"45,0"</f>
        <v>45,0</v>
      </c>
      <c r="M22" s="10" t="str">
        <f>"49,4460"</f>
        <v>49,4460</v>
      </c>
      <c r="N22" s="30" t="s">
        <v>1195</v>
      </c>
    </row>
    <row r="23" ht="12.75">
      <c r="B23" s="6" t="s">
        <v>31</v>
      </c>
    </row>
    <row r="24" spans="1:13" ht="15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4" ht="12.75">
      <c r="A25" s="10" t="s">
        <v>13</v>
      </c>
      <c r="B25" s="8" t="s">
        <v>1196</v>
      </c>
      <c r="C25" s="8" t="s">
        <v>1197</v>
      </c>
      <c r="D25" s="8" t="s">
        <v>250</v>
      </c>
      <c r="E25" s="8" t="str">
        <f>"0,9283"</f>
        <v>0,9283</v>
      </c>
      <c r="F25" s="8" t="s">
        <v>15</v>
      </c>
      <c r="G25" s="8" t="s">
        <v>1198</v>
      </c>
      <c r="H25" s="11" t="s">
        <v>48</v>
      </c>
      <c r="I25" s="11" t="s">
        <v>48</v>
      </c>
      <c r="J25" s="11" t="s">
        <v>17</v>
      </c>
      <c r="K25" s="10"/>
      <c r="L25" s="10" t="s">
        <v>23</v>
      </c>
      <c r="M25" s="10" t="str">
        <f>"0,0000"</f>
        <v>0,0000</v>
      </c>
      <c r="N25" s="30" t="s">
        <v>1199</v>
      </c>
    </row>
    <row r="26" ht="12.75">
      <c r="B26" s="6" t="s">
        <v>31</v>
      </c>
    </row>
    <row r="27" spans="1:13" ht="15">
      <c r="A27" s="43" t="s">
        <v>78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ht="12.75">
      <c r="A28" s="15" t="s">
        <v>24</v>
      </c>
      <c r="B28" s="12" t="s">
        <v>1200</v>
      </c>
      <c r="C28" s="12" t="s">
        <v>1201</v>
      </c>
      <c r="D28" s="12" t="s">
        <v>83</v>
      </c>
      <c r="E28" s="12" t="str">
        <f>"0,7719"</f>
        <v>0,7719</v>
      </c>
      <c r="F28" s="26" t="s">
        <v>252</v>
      </c>
      <c r="G28" s="12" t="s">
        <v>878</v>
      </c>
      <c r="H28" s="13" t="s">
        <v>134</v>
      </c>
      <c r="I28" s="13" t="s">
        <v>82</v>
      </c>
      <c r="J28" s="13" t="s">
        <v>95</v>
      </c>
      <c r="K28" s="15"/>
      <c r="L28" s="15" t="str">
        <f>"127,5"</f>
        <v>127,5</v>
      </c>
      <c r="M28" s="15" t="str">
        <f>"98,4172"</f>
        <v>98,4172</v>
      </c>
      <c r="N28" s="12" t="s">
        <v>1202</v>
      </c>
    </row>
    <row r="29" spans="1:14" ht="12.75">
      <c r="A29" s="23" t="s">
        <v>38</v>
      </c>
      <c r="B29" s="20" t="s">
        <v>1203</v>
      </c>
      <c r="C29" s="20" t="s">
        <v>1204</v>
      </c>
      <c r="D29" s="20" t="s">
        <v>1205</v>
      </c>
      <c r="E29" s="20" t="str">
        <f>"0,8067"</f>
        <v>0,8067</v>
      </c>
      <c r="F29" s="27" t="s">
        <v>252</v>
      </c>
      <c r="G29" s="20" t="s">
        <v>878</v>
      </c>
      <c r="H29" s="21" t="s">
        <v>33</v>
      </c>
      <c r="I29" s="21" t="s">
        <v>84</v>
      </c>
      <c r="J29" s="22" t="s">
        <v>34</v>
      </c>
      <c r="K29" s="23"/>
      <c r="L29" s="23" t="str">
        <f>"112,5"</f>
        <v>112,5</v>
      </c>
      <c r="M29" s="23" t="str">
        <f>"90,7537"</f>
        <v>90,7537</v>
      </c>
      <c r="N29" s="20" t="s">
        <v>1202</v>
      </c>
    </row>
    <row r="30" spans="1:14" ht="12.75">
      <c r="A30" s="23" t="s">
        <v>24</v>
      </c>
      <c r="B30" s="20" t="s">
        <v>393</v>
      </c>
      <c r="C30" s="20" t="s">
        <v>394</v>
      </c>
      <c r="D30" s="20" t="s">
        <v>99</v>
      </c>
      <c r="E30" s="20" t="str">
        <f>"0,7842"</f>
        <v>0,7842</v>
      </c>
      <c r="F30" s="20" t="s">
        <v>86</v>
      </c>
      <c r="G30" s="20" t="s">
        <v>87</v>
      </c>
      <c r="H30" s="21" t="s">
        <v>80</v>
      </c>
      <c r="I30" s="21" t="s">
        <v>104</v>
      </c>
      <c r="J30" s="21" t="s">
        <v>101</v>
      </c>
      <c r="K30" s="23"/>
      <c r="L30" s="23" t="str">
        <f>"165,0"</f>
        <v>165,0</v>
      </c>
      <c r="M30" s="23" t="str">
        <f>"129,3930"</f>
        <v>129,3930</v>
      </c>
      <c r="N30" s="27" t="s">
        <v>395</v>
      </c>
    </row>
    <row r="31" spans="1:14" ht="12.75">
      <c r="A31" s="18" t="s">
        <v>38</v>
      </c>
      <c r="B31" s="16" t="s">
        <v>1206</v>
      </c>
      <c r="C31" s="16" t="s">
        <v>1207</v>
      </c>
      <c r="D31" s="16" t="s">
        <v>1208</v>
      </c>
      <c r="E31" s="16" t="str">
        <f>"0,7804"</f>
        <v>0,7804</v>
      </c>
      <c r="F31" s="28" t="s">
        <v>165</v>
      </c>
      <c r="G31" s="16" t="s">
        <v>1043</v>
      </c>
      <c r="H31" s="17" t="s">
        <v>64</v>
      </c>
      <c r="I31" s="17" t="s">
        <v>95</v>
      </c>
      <c r="J31" s="19" t="s">
        <v>57</v>
      </c>
      <c r="K31" s="18"/>
      <c r="L31" s="18" t="str">
        <f>"127,5"</f>
        <v>127,5</v>
      </c>
      <c r="M31" s="18" t="str">
        <f>"99,5010"</f>
        <v>99,5010</v>
      </c>
      <c r="N31" s="16" t="s">
        <v>1202</v>
      </c>
    </row>
    <row r="32" ht="12.75">
      <c r="B32" s="6" t="s">
        <v>31</v>
      </c>
    </row>
    <row r="33" spans="1:13" ht="15">
      <c r="A33" s="43" t="s">
        <v>89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4" ht="12.75">
      <c r="A34" s="15" t="s">
        <v>24</v>
      </c>
      <c r="B34" s="12" t="s">
        <v>1209</v>
      </c>
      <c r="C34" s="12" t="s">
        <v>1210</v>
      </c>
      <c r="D34" s="12" t="s">
        <v>718</v>
      </c>
      <c r="E34" s="12" t="str">
        <f>"0,7214"</f>
        <v>0,7214</v>
      </c>
      <c r="F34" s="12" t="s">
        <v>15</v>
      </c>
      <c r="G34" s="12" t="s">
        <v>1211</v>
      </c>
      <c r="H34" s="14" t="s">
        <v>58</v>
      </c>
      <c r="I34" s="13" t="s">
        <v>58</v>
      </c>
      <c r="J34" s="14" t="s">
        <v>59</v>
      </c>
      <c r="K34" s="15"/>
      <c r="L34" s="15" t="str">
        <f>"140,0"</f>
        <v>140,0</v>
      </c>
      <c r="M34" s="15" t="str">
        <f>"100,9960"</f>
        <v>100,9960</v>
      </c>
      <c r="N34" s="26" t="s">
        <v>37</v>
      </c>
    </row>
    <row r="35" spans="1:14" ht="12.75">
      <c r="A35" s="23" t="s">
        <v>38</v>
      </c>
      <c r="B35" s="20" t="s">
        <v>1212</v>
      </c>
      <c r="C35" s="20" t="s">
        <v>1213</v>
      </c>
      <c r="D35" s="20" t="s">
        <v>338</v>
      </c>
      <c r="E35" s="20" t="str">
        <f>"0,7360"</f>
        <v>0,7360</v>
      </c>
      <c r="F35" s="20" t="s">
        <v>15</v>
      </c>
      <c r="G35" s="20" t="s">
        <v>1214</v>
      </c>
      <c r="H35" s="21" t="s">
        <v>22</v>
      </c>
      <c r="I35" s="21" t="s">
        <v>33</v>
      </c>
      <c r="J35" s="21" t="s">
        <v>34</v>
      </c>
      <c r="K35" s="23"/>
      <c r="L35" s="23" t="str">
        <f>"115,0"</f>
        <v>115,0</v>
      </c>
      <c r="M35" s="23" t="str">
        <f>"84,6400"</f>
        <v>84,6400</v>
      </c>
      <c r="N35" s="27" t="s">
        <v>37</v>
      </c>
    </row>
    <row r="36" spans="1:14" ht="12.75">
      <c r="A36" s="23" t="s">
        <v>72</v>
      </c>
      <c r="B36" s="20" t="s">
        <v>1215</v>
      </c>
      <c r="C36" s="20" t="s">
        <v>1216</v>
      </c>
      <c r="D36" s="20" t="s">
        <v>391</v>
      </c>
      <c r="E36" s="20" t="str">
        <f>"0,7159"</f>
        <v>0,7159</v>
      </c>
      <c r="F36" s="20" t="s">
        <v>15</v>
      </c>
      <c r="G36" s="20" t="s">
        <v>76</v>
      </c>
      <c r="H36" s="21" t="s">
        <v>33</v>
      </c>
      <c r="I36" s="21" t="s">
        <v>84</v>
      </c>
      <c r="J36" s="22" t="s">
        <v>36</v>
      </c>
      <c r="K36" s="23"/>
      <c r="L36" s="23" t="str">
        <f>"112,5"</f>
        <v>112,5</v>
      </c>
      <c r="M36" s="23" t="str">
        <f>"80,5388"</f>
        <v>80,5388</v>
      </c>
      <c r="N36" s="27" t="s">
        <v>1217</v>
      </c>
    </row>
    <row r="37" spans="1:14" ht="12.75">
      <c r="A37" s="23" t="s">
        <v>24</v>
      </c>
      <c r="B37" s="20" t="s">
        <v>1218</v>
      </c>
      <c r="C37" s="20" t="s">
        <v>1219</v>
      </c>
      <c r="D37" s="20" t="s">
        <v>718</v>
      </c>
      <c r="E37" s="20" t="str">
        <f>"0,7214"</f>
        <v>0,7214</v>
      </c>
      <c r="F37" s="20" t="s">
        <v>15</v>
      </c>
      <c r="G37" s="20" t="s">
        <v>16</v>
      </c>
      <c r="H37" s="21" t="s">
        <v>137</v>
      </c>
      <c r="I37" s="22" t="s">
        <v>124</v>
      </c>
      <c r="J37" s="22" t="s">
        <v>376</v>
      </c>
      <c r="K37" s="23"/>
      <c r="L37" s="23" t="str">
        <f>"187,5"</f>
        <v>187,5</v>
      </c>
      <c r="M37" s="23" t="str">
        <f>"135,2625"</f>
        <v>135,2625</v>
      </c>
      <c r="N37" s="27" t="s">
        <v>451</v>
      </c>
    </row>
    <row r="38" spans="1:14" ht="12.75">
      <c r="A38" s="23" t="s">
        <v>38</v>
      </c>
      <c r="B38" s="20" t="s">
        <v>396</v>
      </c>
      <c r="C38" s="20" t="s">
        <v>397</v>
      </c>
      <c r="D38" s="20" t="s">
        <v>140</v>
      </c>
      <c r="E38" s="20" t="str">
        <f>"0,7173"</f>
        <v>0,7173</v>
      </c>
      <c r="F38" s="20" t="s">
        <v>233</v>
      </c>
      <c r="G38" s="20" t="s">
        <v>234</v>
      </c>
      <c r="H38" s="21" t="s">
        <v>104</v>
      </c>
      <c r="I38" s="21" t="s">
        <v>105</v>
      </c>
      <c r="J38" s="22" t="s">
        <v>189</v>
      </c>
      <c r="K38" s="23"/>
      <c r="L38" s="23" t="str">
        <f>"170,0"</f>
        <v>170,0</v>
      </c>
      <c r="M38" s="23" t="str">
        <f>"121,9410"</f>
        <v>121,9410</v>
      </c>
      <c r="N38" s="27" t="s">
        <v>235</v>
      </c>
    </row>
    <row r="39" spans="1:14" ht="12.75">
      <c r="A39" s="23" t="s">
        <v>72</v>
      </c>
      <c r="B39" s="20" t="s">
        <v>1220</v>
      </c>
      <c r="C39" s="20" t="s">
        <v>1221</v>
      </c>
      <c r="D39" s="20" t="s">
        <v>90</v>
      </c>
      <c r="E39" s="20" t="str">
        <f>"0,7271"</f>
        <v>0,7271</v>
      </c>
      <c r="F39" s="20" t="s">
        <v>15</v>
      </c>
      <c r="G39" s="20" t="s">
        <v>1222</v>
      </c>
      <c r="H39" s="21" t="s">
        <v>80</v>
      </c>
      <c r="I39" s="21" t="s">
        <v>201</v>
      </c>
      <c r="J39" s="22" t="s">
        <v>104</v>
      </c>
      <c r="K39" s="23"/>
      <c r="L39" s="23" t="str">
        <f>"157,5"</f>
        <v>157,5</v>
      </c>
      <c r="M39" s="23" t="str">
        <f>"114,5183"</f>
        <v>114,5183</v>
      </c>
      <c r="N39" s="27" t="s">
        <v>1223</v>
      </c>
    </row>
    <row r="40" spans="1:14" ht="12.75">
      <c r="A40" s="18" t="s">
        <v>24</v>
      </c>
      <c r="B40" s="16" t="s">
        <v>399</v>
      </c>
      <c r="C40" s="16" t="s">
        <v>400</v>
      </c>
      <c r="D40" s="16" t="s">
        <v>401</v>
      </c>
      <c r="E40" s="16" t="str">
        <f>"0,7152"</f>
        <v>0,7152</v>
      </c>
      <c r="F40" s="16" t="s">
        <v>86</v>
      </c>
      <c r="G40" s="16" t="s">
        <v>87</v>
      </c>
      <c r="H40" s="17" t="s">
        <v>111</v>
      </c>
      <c r="I40" s="19" t="s">
        <v>119</v>
      </c>
      <c r="J40" s="19" t="s">
        <v>119</v>
      </c>
      <c r="K40" s="18"/>
      <c r="L40" s="18" t="str">
        <f>"132,5"</f>
        <v>132,5</v>
      </c>
      <c r="M40" s="18" t="str">
        <f>"110,6844"</f>
        <v>110,6844</v>
      </c>
      <c r="N40" s="28" t="s">
        <v>37</v>
      </c>
    </row>
    <row r="41" ht="12.75">
      <c r="B41" s="6" t="s">
        <v>31</v>
      </c>
    </row>
    <row r="42" spans="1:13" ht="15">
      <c r="A42" s="43" t="s">
        <v>144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4" ht="12.75">
      <c r="A43" s="15" t="s">
        <v>24</v>
      </c>
      <c r="B43" s="12" t="s">
        <v>1224</v>
      </c>
      <c r="C43" s="12" t="s">
        <v>1225</v>
      </c>
      <c r="D43" s="12" t="s">
        <v>1226</v>
      </c>
      <c r="E43" s="12" t="str">
        <f>"0,6785"</f>
        <v>0,6785</v>
      </c>
      <c r="F43" s="12" t="s">
        <v>15</v>
      </c>
      <c r="G43" s="12" t="s">
        <v>1227</v>
      </c>
      <c r="H43" s="13" t="s">
        <v>92</v>
      </c>
      <c r="I43" s="13" t="s">
        <v>205</v>
      </c>
      <c r="J43" s="14" t="s">
        <v>105</v>
      </c>
      <c r="K43" s="15"/>
      <c r="L43" s="15" t="str">
        <f>"162,5"</f>
        <v>162,5</v>
      </c>
      <c r="M43" s="15" t="str">
        <f>"110,2562"</f>
        <v>110,2562</v>
      </c>
      <c r="N43" s="26" t="s">
        <v>37</v>
      </c>
    </row>
    <row r="44" spans="1:14" ht="12.75">
      <c r="A44" s="23" t="s">
        <v>24</v>
      </c>
      <c r="B44" s="20" t="s">
        <v>1228</v>
      </c>
      <c r="C44" s="20" t="s">
        <v>1229</v>
      </c>
      <c r="D44" s="20" t="s">
        <v>406</v>
      </c>
      <c r="E44" s="20" t="str">
        <f>"0,6724"</f>
        <v>0,6724</v>
      </c>
      <c r="F44" s="20" t="s">
        <v>15</v>
      </c>
      <c r="G44" s="20" t="s">
        <v>1230</v>
      </c>
      <c r="H44" s="21" t="s">
        <v>132</v>
      </c>
      <c r="I44" s="21" t="s">
        <v>116</v>
      </c>
      <c r="J44" s="21" t="s">
        <v>287</v>
      </c>
      <c r="K44" s="22" t="s">
        <v>1231</v>
      </c>
      <c r="L44" s="23" t="str">
        <f>"207,5"</f>
        <v>207,5</v>
      </c>
      <c r="M44" s="23" t="str">
        <f>"139,5230"</f>
        <v>139,5230</v>
      </c>
      <c r="N44" s="27" t="s">
        <v>37</v>
      </c>
    </row>
    <row r="45" spans="1:14" ht="12.75">
      <c r="A45" s="23" t="s">
        <v>38</v>
      </c>
      <c r="B45" s="20" t="s">
        <v>259</v>
      </c>
      <c r="C45" s="20" t="s">
        <v>260</v>
      </c>
      <c r="D45" s="20" t="s">
        <v>149</v>
      </c>
      <c r="E45" s="20" t="str">
        <f>"0,6774"</f>
        <v>0,6774</v>
      </c>
      <c r="F45" s="20" t="s">
        <v>15</v>
      </c>
      <c r="G45" s="20" t="s">
        <v>261</v>
      </c>
      <c r="H45" s="21" t="s">
        <v>123</v>
      </c>
      <c r="I45" s="22" t="s">
        <v>138</v>
      </c>
      <c r="J45" s="21" t="s">
        <v>138</v>
      </c>
      <c r="K45" s="23"/>
      <c r="L45" s="23" t="str">
        <f>"192,5"</f>
        <v>192,5</v>
      </c>
      <c r="M45" s="23" t="str">
        <f>"130,3995"</f>
        <v>130,3995</v>
      </c>
      <c r="N45" s="27" t="s">
        <v>262</v>
      </c>
    </row>
    <row r="46" spans="1:14" ht="12.75">
      <c r="A46" s="23" t="s">
        <v>72</v>
      </c>
      <c r="B46" s="20" t="s">
        <v>1232</v>
      </c>
      <c r="C46" s="20" t="s">
        <v>1233</v>
      </c>
      <c r="D46" s="20" t="s">
        <v>263</v>
      </c>
      <c r="E46" s="20" t="str">
        <f>"0,6734"</f>
        <v>0,6734</v>
      </c>
      <c r="F46" s="27" t="s">
        <v>15</v>
      </c>
      <c r="G46" s="27" t="s">
        <v>482</v>
      </c>
      <c r="H46" s="21" t="s">
        <v>138</v>
      </c>
      <c r="I46" s="22" t="s">
        <v>116</v>
      </c>
      <c r="J46" s="22" t="s">
        <v>116</v>
      </c>
      <c r="K46" s="23"/>
      <c r="L46" s="23" t="str">
        <f>"192,5"</f>
        <v>192,5</v>
      </c>
      <c r="M46" s="23" t="str">
        <f>"129,6295"</f>
        <v>129,6295</v>
      </c>
      <c r="N46" s="27" t="s">
        <v>37</v>
      </c>
    </row>
    <row r="47" spans="1:14" ht="12.75">
      <c r="A47" s="23" t="s">
        <v>74</v>
      </c>
      <c r="B47" s="20" t="s">
        <v>1234</v>
      </c>
      <c r="C47" s="20" t="s">
        <v>1235</v>
      </c>
      <c r="D47" s="20" t="s">
        <v>155</v>
      </c>
      <c r="E47" s="20" t="str">
        <f>"0,6871"</f>
        <v>0,6871</v>
      </c>
      <c r="F47" s="20" t="s">
        <v>15</v>
      </c>
      <c r="G47" s="20" t="s">
        <v>181</v>
      </c>
      <c r="H47" s="21" t="s">
        <v>80</v>
      </c>
      <c r="I47" s="21" t="s">
        <v>201</v>
      </c>
      <c r="J47" s="21" t="s">
        <v>101</v>
      </c>
      <c r="K47" s="23"/>
      <c r="L47" s="23" t="str">
        <f>"165,0"</f>
        <v>165,0</v>
      </c>
      <c r="M47" s="23" t="str">
        <f>"113,3715"</f>
        <v>113,3715</v>
      </c>
      <c r="N47" s="27" t="s">
        <v>37</v>
      </c>
    </row>
    <row r="48" spans="1:14" ht="12.75">
      <c r="A48" s="23" t="s">
        <v>85</v>
      </c>
      <c r="B48" s="20" t="s">
        <v>1236</v>
      </c>
      <c r="C48" s="20" t="s">
        <v>1237</v>
      </c>
      <c r="D48" s="20" t="s">
        <v>153</v>
      </c>
      <c r="E48" s="20" t="str">
        <f>"0,6790"</f>
        <v>0,6790</v>
      </c>
      <c r="F48" s="20" t="s">
        <v>15</v>
      </c>
      <c r="G48" s="27" t="s">
        <v>301</v>
      </c>
      <c r="H48" s="21" t="s">
        <v>101</v>
      </c>
      <c r="I48" s="22" t="s">
        <v>105</v>
      </c>
      <c r="J48" s="22" t="s">
        <v>105</v>
      </c>
      <c r="K48" s="23"/>
      <c r="L48" s="23" t="str">
        <f>"165,0"</f>
        <v>165,0</v>
      </c>
      <c r="M48" s="23" t="str">
        <f>"112,0350"</f>
        <v>112,0350</v>
      </c>
      <c r="N48" s="27" t="s">
        <v>37</v>
      </c>
    </row>
    <row r="49" spans="1:14" ht="12.75">
      <c r="A49" s="23" t="s">
        <v>136</v>
      </c>
      <c r="B49" s="20" t="s">
        <v>1238</v>
      </c>
      <c r="C49" s="20" t="s">
        <v>1239</v>
      </c>
      <c r="D49" s="20" t="s">
        <v>406</v>
      </c>
      <c r="E49" s="20" t="str">
        <f>"0,6724"</f>
        <v>0,6724</v>
      </c>
      <c r="F49" s="20" t="s">
        <v>15</v>
      </c>
      <c r="G49" s="20" t="s">
        <v>1240</v>
      </c>
      <c r="H49" s="21" t="s">
        <v>80</v>
      </c>
      <c r="I49" s="21" t="s">
        <v>104</v>
      </c>
      <c r="J49" s="21" t="s">
        <v>101</v>
      </c>
      <c r="K49" s="23"/>
      <c r="L49" s="23" t="str">
        <f>"165,0"</f>
        <v>165,0</v>
      </c>
      <c r="M49" s="23" t="str">
        <f>"110,9460"</f>
        <v>110,9460</v>
      </c>
      <c r="N49" s="27" t="s">
        <v>1241</v>
      </c>
    </row>
    <row r="50" spans="1:14" ht="12.75">
      <c r="A50" s="23" t="s">
        <v>139</v>
      </c>
      <c r="B50" s="20" t="s">
        <v>1242</v>
      </c>
      <c r="C50" s="20" t="s">
        <v>1243</v>
      </c>
      <c r="D50" s="20" t="s">
        <v>263</v>
      </c>
      <c r="E50" s="20" t="str">
        <f>"0,6734"</f>
        <v>0,6734</v>
      </c>
      <c r="F50" s="20" t="s">
        <v>15</v>
      </c>
      <c r="G50" s="20" t="s">
        <v>16</v>
      </c>
      <c r="H50" s="21" t="s">
        <v>104</v>
      </c>
      <c r="I50" s="22" t="s">
        <v>101</v>
      </c>
      <c r="J50" s="22" t="s">
        <v>101</v>
      </c>
      <c r="K50" s="23"/>
      <c r="L50" s="23" t="str">
        <f>"160,0"</f>
        <v>160,0</v>
      </c>
      <c r="M50" s="23" t="str">
        <f>"107,7440"</f>
        <v>107,7440</v>
      </c>
      <c r="N50" s="27" t="s">
        <v>37</v>
      </c>
    </row>
    <row r="51" spans="1:14" ht="12.75">
      <c r="A51" s="23" t="s">
        <v>142</v>
      </c>
      <c r="B51" s="20" t="s">
        <v>1244</v>
      </c>
      <c r="C51" s="20" t="s">
        <v>1245</v>
      </c>
      <c r="D51" s="20" t="s">
        <v>257</v>
      </c>
      <c r="E51" s="20" t="str">
        <f>"0,6699"</f>
        <v>0,6699</v>
      </c>
      <c r="F51" s="20" t="s">
        <v>15</v>
      </c>
      <c r="G51" s="20" t="s">
        <v>16</v>
      </c>
      <c r="H51" s="21" t="s">
        <v>59</v>
      </c>
      <c r="I51" s="21" t="s">
        <v>92</v>
      </c>
      <c r="J51" s="22" t="s">
        <v>104</v>
      </c>
      <c r="K51" s="23"/>
      <c r="L51" s="23" t="str">
        <f>"155,0"</f>
        <v>155,0</v>
      </c>
      <c r="M51" s="23" t="str">
        <f>"103,8345"</f>
        <v>103,8345</v>
      </c>
      <c r="N51" s="27" t="s">
        <v>334</v>
      </c>
    </row>
    <row r="52" spans="1:14" ht="12.75">
      <c r="A52" s="23" t="s">
        <v>427</v>
      </c>
      <c r="B52" s="20" t="s">
        <v>1246</v>
      </c>
      <c r="C52" s="20" t="s">
        <v>1247</v>
      </c>
      <c r="D52" s="20" t="s">
        <v>1248</v>
      </c>
      <c r="E52" s="20" t="str">
        <f>"0,7017"</f>
        <v>0,7017</v>
      </c>
      <c r="F52" s="20" t="s">
        <v>15</v>
      </c>
      <c r="G52" s="20" t="s">
        <v>264</v>
      </c>
      <c r="H52" s="21" t="s">
        <v>59</v>
      </c>
      <c r="I52" s="21" t="s">
        <v>80</v>
      </c>
      <c r="J52" s="22" t="s">
        <v>92</v>
      </c>
      <c r="K52" s="23"/>
      <c r="L52" s="23" t="str">
        <f>"150,0"</f>
        <v>150,0</v>
      </c>
      <c r="M52" s="23" t="str">
        <f>"105,2550"</f>
        <v>105,2550</v>
      </c>
      <c r="N52" s="27" t="s">
        <v>37</v>
      </c>
    </row>
    <row r="53" spans="1:14" ht="12.75">
      <c r="A53" s="23" t="s">
        <v>731</v>
      </c>
      <c r="B53" s="20" t="s">
        <v>1249</v>
      </c>
      <c r="C53" s="20" t="s">
        <v>1250</v>
      </c>
      <c r="D53" s="20" t="s">
        <v>145</v>
      </c>
      <c r="E53" s="20" t="str">
        <f>"0,6800"</f>
        <v>0,6800</v>
      </c>
      <c r="F53" s="20" t="s">
        <v>15</v>
      </c>
      <c r="G53" s="20" t="s">
        <v>16</v>
      </c>
      <c r="H53" s="21" t="s">
        <v>69</v>
      </c>
      <c r="I53" s="22" t="s">
        <v>92</v>
      </c>
      <c r="J53" s="22" t="s">
        <v>92</v>
      </c>
      <c r="K53" s="23"/>
      <c r="L53" s="23" t="str">
        <f>"142,5"</f>
        <v>142,5</v>
      </c>
      <c r="M53" s="23" t="str">
        <f>"96,9000"</f>
        <v>96,9000</v>
      </c>
      <c r="N53" s="27" t="s">
        <v>37</v>
      </c>
    </row>
    <row r="54" spans="1:14" ht="12.75">
      <c r="A54" s="23" t="s">
        <v>736</v>
      </c>
      <c r="B54" s="20" t="s">
        <v>1251</v>
      </c>
      <c r="C54" s="20" t="s">
        <v>1252</v>
      </c>
      <c r="D54" s="20" t="s">
        <v>266</v>
      </c>
      <c r="E54" s="20" t="str">
        <f>"0,6811"</f>
        <v>0,6811</v>
      </c>
      <c r="F54" s="20" t="s">
        <v>15</v>
      </c>
      <c r="G54" s="20" t="s">
        <v>16</v>
      </c>
      <c r="H54" s="21" t="s">
        <v>34</v>
      </c>
      <c r="I54" s="21" t="s">
        <v>82</v>
      </c>
      <c r="J54" s="21" t="s">
        <v>57</v>
      </c>
      <c r="K54" s="23"/>
      <c r="L54" s="23" t="str">
        <f>"130,0"</f>
        <v>130,0</v>
      </c>
      <c r="M54" s="23" t="str">
        <f>"88,5430"</f>
        <v>88,5430</v>
      </c>
      <c r="N54" s="27" t="s">
        <v>37</v>
      </c>
    </row>
    <row r="55" spans="1:14" ht="12.75">
      <c r="A55" s="23" t="s">
        <v>24</v>
      </c>
      <c r="B55" s="20" t="s">
        <v>479</v>
      </c>
      <c r="C55" s="20" t="s">
        <v>480</v>
      </c>
      <c r="D55" s="20" t="s">
        <v>407</v>
      </c>
      <c r="E55" s="20" t="str">
        <f>"0,6849"</f>
        <v>0,6849</v>
      </c>
      <c r="F55" s="27" t="s">
        <v>115</v>
      </c>
      <c r="G55" s="20" t="s">
        <v>418</v>
      </c>
      <c r="H55" s="21" t="s">
        <v>69</v>
      </c>
      <c r="I55" s="21" t="s">
        <v>59</v>
      </c>
      <c r="J55" s="22" t="s">
        <v>80</v>
      </c>
      <c r="K55" s="23"/>
      <c r="L55" s="23" t="str">
        <f>"145,0"</f>
        <v>145,0</v>
      </c>
      <c r="M55" s="23" t="str">
        <f>"100,7008"</f>
        <v>100,7008</v>
      </c>
      <c r="N55" s="27" t="s">
        <v>37</v>
      </c>
    </row>
    <row r="56" spans="1:14" ht="12.75">
      <c r="A56" s="18" t="s">
        <v>24</v>
      </c>
      <c r="B56" s="16" t="s">
        <v>1253</v>
      </c>
      <c r="C56" s="16" t="s">
        <v>1254</v>
      </c>
      <c r="D56" s="16" t="s">
        <v>478</v>
      </c>
      <c r="E56" s="16" t="str">
        <f>"0,6854"</f>
        <v>0,6854</v>
      </c>
      <c r="F56" s="16" t="s">
        <v>15</v>
      </c>
      <c r="G56" s="16" t="s">
        <v>16</v>
      </c>
      <c r="H56" s="17" t="s">
        <v>111</v>
      </c>
      <c r="I56" s="19" t="s">
        <v>119</v>
      </c>
      <c r="J56" s="19" t="s">
        <v>58</v>
      </c>
      <c r="K56" s="18"/>
      <c r="L56" s="18" t="str">
        <f>"132,5"</f>
        <v>132,5</v>
      </c>
      <c r="M56" s="18" t="str">
        <f>"128,0499"</f>
        <v>128,0499</v>
      </c>
      <c r="N56" s="28" t="s">
        <v>37</v>
      </c>
    </row>
    <row r="57" ht="12.75">
      <c r="B57" s="6" t="s">
        <v>31</v>
      </c>
    </row>
    <row r="58" spans="1:13" ht="15">
      <c r="A58" s="43" t="s">
        <v>160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4" ht="12.75">
      <c r="A59" s="15" t="s">
        <v>13</v>
      </c>
      <c r="B59" s="12" t="s">
        <v>1255</v>
      </c>
      <c r="C59" s="12" t="s">
        <v>1256</v>
      </c>
      <c r="D59" s="12" t="s">
        <v>172</v>
      </c>
      <c r="E59" s="12" t="str">
        <f>"0,6384"</f>
        <v>0,6384</v>
      </c>
      <c r="F59" s="12" t="s">
        <v>15</v>
      </c>
      <c r="G59" s="12" t="s">
        <v>1257</v>
      </c>
      <c r="H59" s="14" t="s">
        <v>105</v>
      </c>
      <c r="I59" s="14" t="s">
        <v>105</v>
      </c>
      <c r="J59" s="14" t="s">
        <v>105</v>
      </c>
      <c r="K59" s="15"/>
      <c r="L59" s="15" t="s">
        <v>23</v>
      </c>
      <c r="M59" s="15" t="str">
        <f>"0,0000"</f>
        <v>0,0000</v>
      </c>
      <c r="N59" s="26" t="s">
        <v>37</v>
      </c>
    </row>
    <row r="60" spans="1:14" ht="12.75">
      <c r="A60" s="23" t="s">
        <v>24</v>
      </c>
      <c r="B60" s="20" t="s">
        <v>1258</v>
      </c>
      <c r="C60" s="20" t="s">
        <v>1259</v>
      </c>
      <c r="D60" s="20" t="s">
        <v>368</v>
      </c>
      <c r="E60" s="20" t="str">
        <f>"0,6562"</f>
        <v>0,6562</v>
      </c>
      <c r="F60" s="20" t="s">
        <v>15</v>
      </c>
      <c r="G60" s="27" t="s">
        <v>1260</v>
      </c>
      <c r="H60" s="21" t="s">
        <v>116</v>
      </c>
      <c r="I60" s="22" t="s">
        <v>1261</v>
      </c>
      <c r="J60" s="22" t="s">
        <v>1261</v>
      </c>
      <c r="K60" s="23"/>
      <c r="L60" s="23" t="str">
        <f>"200,0"</f>
        <v>200,0</v>
      </c>
      <c r="M60" s="23" t="str">
        <f>"131,2400"</f>
        <v>131,2400</v>
      </c>
      <c r="N60" s="27" t="s">
        <v>404</v>
      </c>
    </row>
    <row r="61" spans="1:14" ht="12.75">
      <c r="A61" s="23" t="s">
        <v>38</v>
      </c>
      <c r="B61" s="20" t="s">
        <v>1262</v>
      </c>
      <c r="C61" s="20" t="s">
        <v>1263</v>
      </c>
      <c r="D61" s="20" t="s">
        <v>172</v>
      </c>
      <c r="E61" s="20" t="str">
        <f>"0,6384"</f>
        <v>0,6384</v>
      </c>
      <c r="F61" s="20" t="s">
        <v>15</v>
      </c>
      <c r="G61" s="20" t="s">
        <v>722</v>
      </c>
      <c r="H61" s="21" t="s">
        <v>102</v>
      </c>
      <c r="I61" s="21" t="s">
        <v>123</v>
      </c>
      <c r="J61" s="22" t="s">
        <v>125</v>
      </c>
      <c r="K61" s="23"/>
      <c r="L61" s="23" t="str">
        <f>"185,0"</f>
        <v>185,0</v>
      </c>
      <c r="M61" s="23" t="str">
        <f>"118,1040"</f>
        <v>118,1040</v>
      </c>
      <c r="N61" s="27" t="s">
        <v>37</v>
      </c>
    </row>
    <row r="62" spans="1:14" ht="12.75">
      <c r="A62" s="23" t="s">
        <v>72</v>
      </c>
      <c r="B62" s="20" t="s">
        <v>1264</v>
      </c>
      <c r="C62" s="20" t="s">
        <v>1265</v>
      </c>
      <c r="D62" s="20" t="s">
        <v>867</v>
      </c>
      <c r="E62" s="20" t="str">
        <f>"0,6467"</f>
        <v>0,6467</v>
      </c>
      <c r="F62" s="20" t="s">
        <v>15</v>
      </c>
      <c r="G62" s="20" t="s">
        <v>1266</v>
      </c>
      <c r="H62" s="22" t="s">
        <v>101</v>
      </c>
      <c r="I62" s="21" t="s">
        <v>101</v>
      </c>
      <c r="J62" s="22" t="s">
        <v>105</v>
      </c>
      <c r="K62" s="23"/>
      <c r="L62" s="23" t="str">
        <f>"165,0"</f>
        <v>165,0</v>
      </c>
      <c r="M62" s="23" t="str">
        <f>"106,7055"</f>
        <v>106,7055</v>
      </c>
      <c r="N62" s="27" t="s">
        <v>37</v>
      </c>
    </row>
    <row r="63" spans="1:14" ht="12.75">
      <c r="A63" s="23" t="s">
        <v>74</v>
      </c>
      <c r="B63" s="20" t="s">
        <v>1267</v>
      </c>
      <c r="C63" s="20" t="s">
        <v>1268</v>
      </c>
      <c r="D63" s="20" t="s">
        <v>901</v>
      </c>
      <c r="E63" s="20" t="str">
        <f>"0,6495"</f>
        <v>0,6495</v>
      </c>
      <c r="F63" s="27" t="s">
        <v>252</v>
      </c>
      <c r="G63" s="20" t="s">
        <v>878</v>
      </c>
      <c r="H63" s="21" t="s">
        <v>92</v>
      </c>
      <c r="I63" s="21" t="s">
        <v>104</v>
      </c>
      <c r="J63" s="22" t="s">
        <v>101</v>
      </c>
      <c r="K63" s="23"/>
      <c r="L63" s="23" t="str">
        <f>"160,0"</f>
        <v>160,0</v>
      </c>
      <c r="M63" s="23" t="str">
        <f>"103,9200"</f>
        <v>103,9200</v>
      </c>
      <c r="N63" s="27" t="s">
        <v>1269</v>
      </c>
    </row>
    <row r="64" spans="1:14" ht="12.75">
      <c r="A64" s="23" t="s">
        <v>24</v>
      </c>
      <c r="B64" s="20" t="s">
        <v>1270</v>
      </c>
      <c r="C64" s="20" t="s">
        <v>1271</v>
      </c>
      <c r="D64" s="20" t="s">
        <v>456</v>
      </c>
      <c r="E64" s="20" t="str">
        <f>"0,6459"</f>
        <v>0,6459</v>
      </c>
      <c r="F64" s="20" t="s">
        <v>15</v>
      </c>
      <c r="G64" s="20" t="s">
        <v>1007</v>
      </c>
      <c r="H64" s="21" t="s">
        <v>156</v>
      </c>
      <c r="I64" s="21" t="s">
        <v>121</v>
      </c>
      <c r="J64" s="21" t="s">
        <v>1272</v>
      </c>
      <c r="K64" s="21" t="s">
        <v>186</v>
      </c>
      <c r="L64" s="23" t="str">
        <f>"255,0"</f>
        <v>255,0</v>
      </c>
      <c r="M64" s="23" t="str">
        <f>"164,7045"</f>
        <v>164,7045</v>
      </c>
      <c r="N64" s="27" t="s">
        <v>53</v>
      </c>
    </row>
    <row r="65" spans="1:14" ht="12.75">
      <c r="A65" s="23" t="s">
        <v>38</v>
      </c>
      <c r="B65" s="20" t="s">
        <v>1273</v>
      </c>
      <c r="C65" s="20" t="s">
        <v>1274</v>
      </c>
      <c r="D65" s="20" t="s">
        <v>274</v>
      </c>
      <c r="E65" s="20" t="str">
        <f>"0,6428"</f>
        <v>0,6428</v>
      </c>
      <c r="F65" s="20" t="s">
        <v>15</v>
      </c>
      <c r="G65" s="20" t="s">
        <v>477</v>
      </c>
      <c r="H65" s="22" t="s">
        <v>135</v>
      </c>
      <c r="I65" s="21" t="s">
        <v>135</v>
      </c>
      <c r="J65" s="22" t="s">
        <v>156</v>
      </c>
      <c r="K65" s="23"/>
      <c r="L65" s="23" t="str">
        <f>"235,0"</f>
        <v>235,0</v>
      </c>
      <c r="M65" s="23" t="str">
        <f>"151,0580"</f>
        <v>151,0580</v>
      </c>
      <c r="N65" s="27" t="s">
        <v>37</v>
      </c>
    </row>
    <row r="66" spans="1:14" ht="12.75">
      <c r="A66" s="23" t="s">
        <v>72</v>
      </c>
      <c r="B66" s="20" t="s">
        <v>1275</v>
      </c>
      <c r="C66" s="20" t="s">
        <v>1276</v>
      </c>
      <c r="D66" s="20" t="s">
        <v>368</v>
      </c>
      <c r="E66" s="20" t="str">
        <f>"0,6562"</f>
        <v>0,6562</v>
      </c>
      <c r="F66" s="20" t="s">
        <v>15</v>
      </c>
      <c r="G66" s="27" t="s">
        <v>1277</v>
      </c>
      <c r="H66" s="21" t="s">
        <v>132</v>
      </c>
      <c r="I66" s="22" t="s">
        <v>125</v>
      </c>
      <c r="J66" s="21" t="s">
        <v>146</v>
      </c>
      <c r="K66" s="23"/>
      <c r="L66" s="23" t="str">
        <f>"205,0"</f>
        <v>205,0</v>
      </c>
      <c r="M66" s="23" t="str">
        <f>"134,5210"</f>
        <v>134,5210</v>
      </c>
      <c r="N66" s="27" t="s">
        <v>37</v>
      </c>
    </row>
    <row r="67" spans="1:14" ht="12.75">
      <c r="A67" s="23" t="s">
        <v>74</v>
      </c>
      <c r="B67" s="20" t="s">
        <v>1278</v>
      </c>
      <c r="C67" s="20" t="s">
        <v>1279</v>
      </c>
      <c r="D67" s="20" t="s">
        <v>179</v>
      </c>
      <c r="E67" s="20" t="str">
        <f>"0,6417"</f>
        <v>0,6417</v>
      </c>
      <c r="F67" s="20" t="s">
        <v>15</v>
      </c>
      <c r="G67" s="20" t="s">
        <v>209</v>
      </c>
      <c r="H67" s="21" t="s">
        <v>137</v>
      </c>
      <c r="I67" s="21" t="s">
        <v>124</v>
      </c>
      <c r="J67" s="22" t="s">
        <v>125</v>
      </c>
      <c r="K67" s="23"/>
      <c r="L67" s="23" t="str">
        <f>"195,0"</f>
        <v>195,0</v>
      </c>
      <c r="M67" s="23" t="str">
        <f>"125,1315"</f>
        <v>125,1315</v>
      </c>
      <c r="N67" s="27" t="s">
        <v>37</v>
      </c>
    </row>
    <row r="68" spans="1:14" ht="12.75">
      <c r="A68" s="23" t="s">
        <v>85</v>
      </c>
      <c r="B68" s="20" t="s">
        <v>1280</v>
      </c>
      <c r="C68" s="20" t="s">
        <v>1281</v>
      </c>
      <c r="D68" s="20" t="s">
        <v>1282</v>
      </c>
      <c r="E68" s="20" t="str">
        <f>"0,6540"</f>
        <v>0,6540</v>
      </c>
      <c r="F68" s="27" t="s">
        <v>165</v>
      </c>
      <c r="G68" s="20" t="s">
        <v>1283</v>
      </c>
      <c r="H68" s="21" t="s">
        <v>137</v>
      </c>
      <c r="I68" s="21" t="s">
        <v>138</v>
      </c>
      <c r="J68" s="22" t="s">
        <v>124</v>
      </c>
      <c r="K68" s="23"/>
      <c r="L68" s="23" t="str">
        <f>"192,5"</f>
        <v>192,5</v>
      </c>
      <c r="M68" s="23" t="str">
        <f>"125,8950"</f>
        <v>125,8950</v>
      </c>
      <c r="N68" s="27" t="s">
        <v>1284</v>
      </c>
    </row>
    <row r="69" spans="1:14" ht="12.75">
      <c r="A69" s="23" t="s">
        <v>136</v>
      </c>
      <c r="B69" s="20" t="s">
        <v>1285</v>
      </c>
      <c r="C69" s="20" t="s">
        <v>1286</v>
      </c>
      <c r="D69" s="20" t="s">
        <v>925</v>
      </c>
      <c r="E69" s="20" t="str">
        <f>"0,6447"</f>
        <v>0,6447</v>
      </c>
      <c r="F69" s="20" t="s">
        <v>15</v>
      </c>
      <c r="G69" s="20" t="s">
        <v>16</v>
      </c>
      <c r="H69" s="21" t="s">
        <v>58</v>
      </c>
      <c r="I69" s="21" t="s">
        <v>59</v>
      </c>
      <c r="J69" s="21" t="s">
        <v>80</v>
      </c>
      <c r="K69" s="23"/>
      <c r="L69" s="23" t="str">
        <f>"150,0"</f>
        <v>150,0</v>
      </c>
      <c r="M69" s="23" t="str">
        <f>"96,7050"</f>
        <v>96,7050</v>
      </c>
      <c r="N69" s="27" t="s">
        <v>37</v>
      </c>
    </row>
    <row r="70" spans="1:14" ht="12.75">
      <c r="A70" s="23" t="s">
        <v>139</v>
      </c>
      <c r="B70" s="20" t="s">
        <v>1287</v>
      </c>
      <c r="C70" s="20" t="s">
        <v>1288</v>
      </c>
      <c r="D70" s="20" t="s">
        <v>863</v>
      </c>
      <c r="E70" s="20" t="str">
        <f>"0,6528"</f>
        <v>0,6528</v>
      </c>
      <c r="F70" s="20" t="s">
        <v>15</v>
      </c>
      <c r="G70" s="20" t="s">
        <v>16</v>
      </c>
      <c r="H70" s="21" t="s">
        <v>57</v>
      </c>
      <c r="I70" s="22" t="s">
        <v>58</v>
      </c>
      <c r="J70" s="22" t="s">
        <v>58</v>
      </c>
      <c r="K70" s="23"/>
      <c r="L70" s="23" t="str">
        <f>"130,0"</f>
        <v>130,0</v>
      </c>
      <c r="M70" s="23" t="str">
        <f>"84,8640"</f>
        <v>84,8640</v>
      </c>
      <c r="N70" s="27" t="s">
        <v>37</v>
      </c>
    </row>
    <row r="71" spans="1:14" ht="12.75">
      <c r="A71" s="23" t="s">
        <v>13</v>
      </c>
      <c r="B71" s="20" t="s">
        <v>1289</v>
      </c>
      <c r="C71" s="20" t="s">
        <v>215</v>
      </c>
      <c r="D71" s="20" t="s">
        <v>411</v>
      </c>
      <c r="E71" s="20" t="str">
        <f>"0,6444"</f>
        <v>0,6444</v>
      </c>
      <c r="F71" s="20" t="s">
        <v>15</v>
      </c>
      <c r="G71" s="20" t="s">
        <v>248</v>
      </c>
      <c r="H71" s="22" t="s">
        <v>102</v>
      </c>
      <c r="I71" s="22" t="s">
        <v>102</v>
      </c>
      <c r="J71" s="23"/>
      <c r="K71" s="23"/>
      <c r="L71" s="23" t="s">
        <v>23</v>
      </c>
      <c r="M71" s="23" t="str">
        <f>"0,0000"</f>
        <v>0,0000</v>
      </c>
      <c r="N71" s="27" t="s">
        <v>322</v>
      </c>
    </row>
    <row r="72" spans="1:14" ht="12.75">
      <c r="A72" s="23" t="s">
        <v>24</v>
      </c>
      <c r="B72" s="20" t="s">
        <v>412</v>
      </c>
      <c r="C72" s="20" t="s">
        <v>413</v>
      </c>
      <c r="D72" s="20" t="s">
        <v>179</v>
      </c>
      <c r="E72" s="20" t="str">
        <f>"0,6417"</f>
        <v>0,6417</v>
      </c>
      <c r="F72" s="20" t="s">
        <v>86</v>
      </c>
      <c r="G72" s="20" t="s">
        <v>87</v>
      </c>
      <c r="H72" s="21" t="s">
        <v>101</v>
      </c>
      <c r="I72" s="22" t="s">
        <v>194</v>
      </c>
      <c r="J72" s="22" t="s">
        <v>194</v>
      </c>
      <c r="K72" s="23"/>
      <c r="L72" s="23" t="str">
        <f>"165,0"</f>
        <v>165,0</v>
      </c>
      <c r="M72" s="23" t="str">
        <f>"119,8567"</f>
        <v>119,8567</v>
      </c>
      <c r="N72" s="27" t="s">
        <v>37</v>
      </c>
    </row>
    <row r="73" spans="1:14" ht="12.75">
      <c r="A73" s="23" t="s">
        <v>13</v>
      </c>
      <c r="B73" s="20" t="s">
        <v>1290</v>
      </c>
      <c r="C73" s="20" t="s">
        <v>1291</v>
      </c>
      <c r="D73" s="20" t="s">
        <v>161</v>
      </c>
      <c r="E73" s="20" t="str">
        <f>"0,6421"</f>
        <v>0,6421</v>
      </c>
      <c r="F73" s="20" t="s">
        <v>15</v>
      </c>
      <c r="G73" s="20" t="s">
        <v>25</v>
      </c>
      <c r="H73" s="22" t="s">
        <v>68</v>
      </c>
      <c r="I73" s="22" t="s">
        <v>68</v>
      </c>
      <c r="J73" s="22" t="s">
        <v>68</v>
      </c>
      <c r="K73" s="23"/>
      <c r="L73" s="23" t="s">
        <v>23</v>
      </c>
      <c r="M73" s="23" t="str">
        <f>"0,0000"</f>
        <v>0,0000</v>
      </c>
      <c r="N73" s="27" t="s">
        <v>37</v>
      </c>
    </row>
    <row r="74" spans="1:14" ht="12.75">
      <c r="A74" s="23" t="s">
        <v>24</v>
      </c>
      <c r="B74" s="20" t="s">
        <v>414</v>
      </c>
      <c r="C74" s="20" t="s">
        <v>415</v>
      </c>
      <c r="D74" s="20" t="s">
        <v>416</v>
      </c>
      <c r="E74" s="20" t="str">
        <f>"0,6451"</f>
        <v>0,6451</v>
      </c>
      <c r="F74" s="20" t="s">
        <v>115</v>
      </c>
      <c r="G74" s="20" t="s">
        <v>417</v>
      </c>
      <c r="H74" s="21" t="s">
        <v>104</v>
      </c>
      <c r="I74" s="22" t="s">
        <v>105</v>
      </c>
      <c r="J74" s="22" t="s">
        <v>105</v>
      </c>
      <c r="K74" s="23"/>
      <c r="L74" s="23" t="str">
        <f>"160,0"</f>
        <v>160,0</v>
      </c>
      <c r="M74" s="23" t="str">
        <f>"120,5563"</f>
        <v>120,5563</v>
      </c>
      <c r="N74" s="27" t="s">
        <v>37</v>
      </c>
    </row>
    <row r="75" spans="1:14" ht="12.75">
      <c r="A75" s="23" t="s">
        <v>13</v>
      </c>
      <c r="B75" s="20" t="s">
        <v>945</v>
      </c>
      <c r="C75" s="20" t="s">
        <v>946</v>
      </c>
      <c r="D75" s="20" t="s">
        <v>947</v>
      </c>
      <c r="E75" s="20" t="str">
        <f>"0,6579"</f>
        <v>0,6579</v>
      </c>
      <c r="F75" s="20" t="s">
        <v>15</v>
      </c>
      <c r="G75" s="20" t="s">
        <v>568</v>
      </c>
      <c r="H75" s="22" t="s">
        <v>18</v>
      </c>
      <c r="I75" s="22" t="s">
        <v>18</v>
      </c>
      <c r="J75" s="22" t="s">
        <v>18</v>
      </c>
      <c r="K75" s="23"/>
      <c r="L75" s="23" t="s">
        <v>23</v>
      </c>
      <c r="M75" s="23" t="str">
        <f>"0,0000"</f>
        <v>0,0000</v>
      </c>
      <c r="N75" s="27" t="s">
        <v>37</v>
      </c>
    </row>
    <row r="76" spans="1:14" ht="12.75">
      <c r="A76" s="18" t="s">
        <v>24</v>
      </c>
      <c r="B76" s="16" t="s">
        <v>1292</v>
      </c>
      <c r="C76" s="16" t="s">
        <v>1293</v>
      </c>
      <c r="D76" s="16" t="s">
        <v>161</v>
      </c>
      <c r="E76" s="16" t="str">
        <f>"0,6421"</f>
        <v>0,6421</v>
      </c>
      <c r="F76" s="16" t="s">
        <v>15</v>
      </c>
      <c r="G76" s="16" t="s">
        <v>1294</v>
      </c>
      <c r="H76" s="17" t="s">
        <v>33</v>
      </c>
      <c r="I76" s="17" t="s">
        <v>64</v>
      </c>
      <c r="J76" s="19" t="s">
        <v>1295</v>
      </c>
      <c r="K76" s="18"/>
      <c r="L76" s="18" t="str">
        <f>"120,0"</f>
        <v>120,0</v>
      </c>
      <c r="M76" s="18" t="str">
        <f>"155,6450"</f>
        <v>155,6450</v>
      </c>
      <c r="N76" s="28" t="s">
        <v>37</v>
      </c>
    </row>
    <row r="77" ht="12.75">
      <c r="B77" s="6" t="s">
        <v>31</v>
      </c>
    </row>
    <row r="78" spans="1:13" ht="15">
      <c r="A78" s="43" t="s">
        <v>184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4" ht="12.75">
      <c r="A79" s="15" t="s">
        <v>24</v>
      </c>
      <c r="B79" s="12" t="s">
        <v>1296</v>
      </c>
      <c r="C79" s="12" t="s">
        <v>1297</v>
      </c>
      <c r="D79" s="12" t="s">
        <v>986</v>
      </c>
      <c r="E79" s="12" t="str">
        <f>"0,6163"</f>
        <v>0,6163</v>
      </c>
      <c r="F79" s="12" t="s">
        <v>15</v>
      </c>
      <c r="G79" s="12" t="s">
        <v>100</v>
      </c>
      <c r="H79" s="13" t="s">
        <v>55</v>
      </c>
      <c r="I79" s="13" t="s">
        <v>61</v>
      </c>
      <c r="J79" s="14" t="s">
        <v>62</v>
      </c>
      <c r="K79" s="15"/>
      <c r="L79" s="15" t="str">
        <f>"100,0"</f>
        <v>100,0</v>
      </c>
      <c r="M79" s="15" t="str">
        <f>"61,6300"</f>
        <v>61,6300</v>
      </c>
      <c r="N79" s="26" t="s">
        <v>103</v>
      </c>
    </row>
    <row r="80" spans="1:14" ht="12.75">
      <c r="A80" s="23" t="s">
        <v>24</v>
      </c>
      <c r="B80" s="20" t="s">
        <v>1298</v>
      </c>
      <c r="C80" s="20" t="s">
        <v>666</v>
      </c>
      <c r="D80" s="20" t="s">
        <v>294</v>
      </c>
      <c r="E80" s="20" t="str">
        <f>"0,6134"</f>
        <v>0,6134</v>
      </c>
      <c r="F80" s="20" t="s">
        <v>15</v>
      </c>
      <c r="G80" s="20" t="s">
        <v>1299</v>
      </c>
      <c r="H80" s="21" t="s">
        <v>117</v>
      </c>
      <c r="I80" s="21" t="s">
        <v>148</v>
      </c>
      <c r="J80" s="21" t="s">
        <v>211</v>
      </c>
      <c r="K80" s="21" t="s">
        <v>120</v>
      </c>
      <c r="L80" s="23" t="str">
        <f>"227,5"</f>
        <v>227,5</v>
      </c>
      <c r="M80" s="23" t="str">
        <f>"139,5485"</f>
        <v>139,5485</v>
      </c>
      <c r="N80" s="27" t="s">
        <v>1300</v>
      </c>
    </row>
    <row r="81" spans="1:14" ht="12.75">
      <c r="A81" s="23" t="s">
        <v>38</v>
      </c>
      <c r="B81" s="20" t="s">
        <v>1301</v>
      </c>
      <c r="C81" s="20" t="s">
        <v>770</v>
      </c>
      <c r="D81" s="20" t="s">
        <v>280</v>
      </c>
      <c r="E81" s="20" t="str">
        <f>"0,6139"</f>
        <v>0,6139</v>
      </c>
      <c r="F81" s="20" t="s">
        <v>15</v>
      </c>
      <c r="G81" s="20" t="s">
        <v>1302</v>
      </c>
      <c r="H81" s="21" t="s">
        <v>123</v>
      </c>
      <c r="I81" s="21" t="s">
        <v>132</v>
      </c>
      <c r="J81" s="21" t="s">
        <v>124</v>
      </c>
      <c r="K81" s="23"/>
      <c r="L81" s="23" t="str">
        <f>"195,0"</f>
        <v>195,0</v>
      </c>
      <c r="M81" s="23" t="str">
        <f>"119,7105"</f>
        <v>119,7105</v>
      </c>
      <c r="N81" s="27" t="s">
        <v>37</v>
      </c>
    </row>
    <row r="82" spans="1:14" ht="12.75">
      <c r="A82" s="23" t="s">
        <v>72</v>
      </c>
      <c r="B82" s="20" t="s">
        <v>1303</v>
      </c>
      <c r="C82" s="20" t="s">
        <v>346</v>
      </c>
      <c r="D82" s="20" t="s">
        <v>463</v>
      </c>
      <c r="E82" s="20" t="str">
        <f>"0,6136"</f>
        <v>0,6136</v>
      </c>
      <c r="F82" s="20" t="s">
        <v>15</v>
      </c>
      <c r="G82" s="20" t="s">
        <v>16</v>
      </c>
      <c r="H82" s="21" t="s">
        <v>123</v>
      </c>
      <c r="I82" s="21" t="s">
        <v>124</v>
      </c>
      <c r="J82" s="22" t="s">
        <v>116</v>
      </c>
      <c r="K82" s="23"/>
      <c r="L82" s="23" t="str">
        <f>"195,0"</f>
        <v>195,0</v>
      </c>
      <c r="M82" s="23" t="str">
        <f>"119,6520"</f>
        <v>119,6520</v>
      </c>
      <c r="N82" s="27" t="s">
        <v>37</v>
      </c>
    </row>
    <row r="83" spans="1:14" ht="12.75">
      <c r="A83" s="23" t="s">
        <v>74</v>
      </c>
      <c r="B83" s="20" t="s">
        <v>1304</v>
      </c>
      <c r="C83" s="20" t="s">
        <v>1305</v>
      </c>
      <c r="D83" s="20" t="s">
        <v>990</v>
      </c>
      <c r="E83" s="20" t="str">
        <f>"0,6123"</f>
        <v>0,6123</v>
      </c>
      <c r="F83" s="20" t="s">
        <v>15</v>
      </c>
      <c r="G83" s="20" t="s">
        <v>1306</v>
      </c>
      <c r="H83" s="21" t="s">
        <v>102</v>
      </c>
      <c r="I83" s="22" t="s">
        <v>222</v>
      </c>
      <c r="J83" s="22" t="s">
        <v>222</v>
      </c>
      <c r="K83" s="23"/>
      <c r="L83" s="23" t="str">
        <f>"175,0"</f>
        <v>175,0</v>
      </c>
      <c r="M83" s="23" t="str">
        <f>"107,1525"</f>
        <v>107,1525</v>
      </c>
      <c r="N83" s="27" t="s">
        <v>37</v>
      </c>
    </row>
    <row r="84" spans="1:14" ht="12.75">
      <c r="A84" s="23" t="s">
        <v>13</v>
      </c>
      <c r="B84" s="20" t="s">
        <v>1307</v>
      </c>
      <c r="C84" s="20" t="s">
        <v>1308</v>
      </c>
      <c r="D84" s="20" t="s">
        <v>1309</v>
      </c>
      <c r="E84" s="20" t="str">
        <f>"0,6276"</f>
        <v>0,6276</v>
      </c>
      <c r="F84" s="20" t="s">
        <v>15</v>
      </c>
      <c r="G84" s="20" t="s">
        <v>351</v>
      </c>
      <c r="H84" s="22" t="s">
        <v>131</v>
      </c>
      <c r="I84" s="22" t="s">
        <v>123</v>
      </c>
      <c r="J84" s="22" t="s">
        <v>123</v>
      </c>
      <c r="K84" s="23"/>
      <c r="L84" s="23" t="s">
        <v>23</v>
      </c>
      <c r="M84" s="23" t="str">
        <f>"0,0000"</f>
        <v>0,0000</v>
      </c>
      <c r="N84" s="27" t="s">
        <v>37</v>
      </c>
    </row>
    <row r="85" spans="1:14" ht="12.75">
      <c r="A85" s="23" t="s">
        <v>13</v>
      </c>
      <c r="B85" s="20" t="s">
        <v>1310</v>
      </c>
      <c r="C85" s="20" t="s">
        <v>1311</v>
      </c>
      <c r="D85" s="20" t="s">
        <v>284</v>
      </c>
      <c r="E85" s="20" t="str">
        <f>"0,6142"</f>
        <v>0,6142</v>
      </c>
      <c r="F85" s="27" t="s">
        <v>329</v>
      </c>
      <c r="G85" s="20" t="s">
        <v>330</v>
      </c>
      <c r="H85" s="22" t="s">
        <v>80</v>
      </c>
      <c r="I85" s="22" t="s">
        <v>80</v>
      </c>
      <c r="J85" s="22" t="s">
        <v>80</v>
      </c>
      <c r="K85" s="23"/>
      <c r="L85" s="23" t="s">
        <v>23</v>
      </c>
      <c r="M85" s="23" t="str">
        <f>"0,0000"</f>
        <v>0,0000</v>
      </c>
      <c r="N85" s="27" t="s">
        <v>331</v>
      </c>
    </row>
    <row r="86" spans="1:14" ht="12.75">
      <c r="A86" s="23" t="s">
        <v>13</v>
      </c>
      <c r="B86" s="20" t="s">
        <v>1312</v>
      </c>
      <c r="C86" s="20" t="s">
        <v>1308</v>
      </c>
      <c r="D86" s="20" t="s">
        <v>994</v>
      </c>
      <c r="E86" s="20" t="str">
        <f>"0,6118"</f>
        <v>0,6118</v>
      </c>
      <c r="F86" s="20" t="s">
        <v>15</v>
      </c>
      <c r="G86" s="20" t="s">
        <v>16</v>
      </c>
      <c r="H86" s="22" t="s">
        <v>116</v>
      </c>
      <c r="I86" s="22" t="s">
        <v>116</v>
      </c>
      <c r="J86" s="23"/>
      <c r="K86" s="23"/>
      <c r="L86" s="23" t="s">
        <v>23</v>
      </c>
      <c r="M86" s="23" t="str">
        <f>"0,0000"</f>
        <v>0,0000</v>
      </c>
      <c r="N86" s="27" t="s">
        <v>1313</v>
      </c>
    </row>
    <row r="87" spans="1:14" ht="12.75">
      <c r="A87" s="23" t="s">
        <v>24</v>
      </c>
      <c r="B87" s="20" t="s">
        <v>1314</v>
      </c>
      <c r="C87" s="20" t="s">
        <v>1315</v>
      </c>
      <c r="D87" s="20" t="s">
        <v>280</v>
      </c>
      <c r="E87" s="20" t="str">
        <f>"0,6139"</f>
        <v>0,6139</v>
      </c>
      <c r="F87" s="20" t="s">
        <v>15</v>
      </c>
      <c r="G87" s="20" t="s">
        <v>1316</v>
      </c>
      <c r="H87" s="21" t="s">
        <v>148</v>
      </c>
      <c r="I87" s="21" t="s">
        <v>120</v>
      </c>
      <c r="J87" s="22" t="s">
        <v>177</v>
      </c>
      <c r="K87" s="23"/>
      <c r="L87" s="23" t="str">
        <f>"230,0"</f>
        <v>230,0</v>
      </c>
      <c r="M87" s="23" t="str">
        <f>"141,1970"</f>
        <v>141,1970</v>
      </c>
      <c r="N87" s="27" t="s">
        <v>37</v>
      </c>
    </row>
    <row r="88" spans="1:14" ht="12.75">
      <c r="A88" s="23" t="s">
        <v>38</v>
      </c>
      <c r="B88" s="20" t="s">
        <v>1317</v>
      </c>
      <c r="C88" s="20" t="s">
        <v>1318</v>
      </c>
      <c r="D88" s="20" t="s">
        <v>292</v>
      </c>
      <c r="E88" s="20" t="str">
        <f>"0,6129"</f>
        <v>0,6129</v>
      </c>
      <c r="F88" s="20" t="s">
        <v>15</v>
      </c>
      <c r="G88" s="20" t="s">
        <v>351</v>
      </c>
      <c r="H88" s="22" t="s">
        <v>211</v>
      </c>
      <c r="I88" s="21" t="s">
        <v>211</v>
      </c>
      <c r="J88" s="22" t="s">
        <v>135</v>
      </c>
      <c r="K88" s="23"/>
      <c r="L88" s="23" t="str">
        <f>"227,5"</f>
        <v>227,5</v>
      </c>
      <c r="M88" s="23" t="str">
        <f>"139,4348"</f>
        <v>139,4348</v>
      </c>
      <c r="N88" s="27" t="s">
        <v>37</v>
      </c>
    </row>
    <row r="89" spans="1:14" ht="12.75">
      <c r="A89" s="23" t="s">
        <v>72</v>
      </c>
      <c r="B89" s="20" t="s">
        <v>1319</v>
      </c>
      <c r="C89" s="20" t="s">
        <v>1320</v>
      </c>
      <c r="D89" s="20" t="s">
        <v>282</v>
      </c>
      <c r="E89" s="20" t="str">
        <f>"0,6113"</f>
        <v>0,6113</v>
      </c>
      <c r="F89" s="27" t="s">
        <v>487</v>
      </c>
      <c r="G89" s="20" t="s">
        <v>488</v>
      </c>
      <c r="H89" s="21" t="s">
        <v>132</v>
      </c>
      <c r="I89" s="21" t="s">
        <v>116</v>
      </c>
      <c r="J89" s="21" t="s">
        <v>287</v>
      </c>
      <c r="K89" s="23"/>
      <c r="L89" s="23" t="str">
        <f>"207,5"</f>
        <v>207,5</v>
      </c>
      <c r="M89" s="23" t="str">
        <f>"126,8447"</f>
        <v>126,8447</v>
      </c>
      <c r="N89" s="27" t="s">
        <v>37</v>
      </c>
    </row>
    <row r="90" spans="1:14" ht="12.75">
      <c r="A90" s="23" t="s">
        <v>74</v>
      </c>
      <c r="B90" s="20" t="s">
        <v>1321</v>
      </c>
      <c r="C90" s="20" t="s">
        <v>1322</v>
      </c>
      <c r="D90" s="20" t="s">
        <v>1323</v>
      </c>
      <c r="E90" s="20" t="str">
        <f>"0,6197"</f>
        <v>0,6197</v>
      </c>
      <c r="F90" s="20" t="s">
        <v>15</v>
      </c>
      <c r="G90" s="20" t="s">
        <v>1324</v>
      </c>
      <c r="H90" s="21" t="s">
        <v>123</v>
      </c>
      <c r="I90" s="21" t="s">
        <v>116</v>
      </c>
      <c r="J90" s="22" t="s">
        <v>146</v>
      </c>
      <c r="K90" s="23"/>
      <c r="L90" s="23" t="str">
        <f>"200,0"</f>
        <v>200,0</v>
      </c>
      <c r="M90" s="23" t="str">
        <f>"123,9400"</f>
        <v>123,9400</v>
      </c>
      <c r="N90" s="27" t="s">
        <v>37</v>
      </c>
    </row>
    <row r="91" spans="1:14" ht="12.75">
      <c r="A91" s="23" t="s">
        <v>85</v>
      </c>
      <c r="B91" s="20" t="s">
        <v>1325</v>
      </c>
      <c r="C91" s="20" t="s">
        <v>1326</v>
      </c>
      <c r="D91" s="20" t="s">
        <v>1327</v>
      </c>
      <c r="E91" s="20" t="str">
        <f>"0,6088"</f>
        <v>0,6088</v>
      </c>
      <c r="F91" s="20" t="s">
        <v>15</v>
      </c>
      <c r="G91" s="20" t="s">
        <v>424</v>
      </c>
      <c r="H91" s="22" t="s">
        <v>124</v>
      </c>
      <c r="I91" s="21" t="s">
        <v>116</v>
      </c>
      <c r="J91" s="22" t="s">
        <v>125</v>
      </c>
      <c r="K91" s="23"/>
      <c r="L91" s="23" t="str">
        <f>"200,0"</f>
        <v>200,0</v>
      </c>
      <c r="M91" s="23" t="str">
        <f>"121,7600"</f>
        <v>121,7600</v>
      </c>
      <c r="N91" s="27" t="s">
        <v>37</v>
      </c>
    </row>
    <row r="92" spans="1:14" ht="12.75">
      <c r="A92" s="23" t="s">
        <v>136</v>
      </c>
      <c r="B92" s="20" t="s">
        <v>1328</v>
      </c>
      <c r="C92" s="20" t="s">
        <v>1329</v>
      </c>
      <c r="D92" s="20" t="s">
        <v>292</v>
      </c>
      <c r="E92" s="20" t="str">
        <f>"0,6129"</f>
        <v>0,6129</v>
      </c>
      <c r="F92" s="20" t="s">
        <v>15</v>
      </c>
      <c r="G92" s="20" t="s">
        <v>176</v>
      </c>
      <c r="H92" s="21" t="s">
        <v>101</v>
      </c>
      <c r="I92" s="21" t="s">
        <v>123</v>
      </c>
      <c r="J92" s="21" t="s">
        <v>124</v>
      </c>
      <c r="K92" s="23"/>
      <c r="L92" s="23" t="str">
        <f>"195,0"</f>
        <v>195,0</v>
      </c>
      <c r="M92" s="23" t="str">
        <f>"119,5155"</f>
        <v>119,5155</v>
      </c>
      <c r="N92" s="27" t="s">
        <v>178</v>
      </c>
    </row>
    <row r="93" spans="1:14" ht="12.75">
      <c r="A93" s="23" t="s">
        <v>139</v>
      </c>
      <c r="B93" s="20" t="s">
        <v>1330</v>
      </c>
      <c r="C93" s="20" t="s">
        <v>1331</v>
      </c>
      <c r="D93" s="20" t="s">
        <v>199</v>
      </c>
      <c r="E93" s="20" t="str">
        <f>"0,6211"</f>
        <v>0,6211</v>
      </c>
      <c r="F93" s="20" t="s">
        <v>15</v>
      </c>
      <c r="G93" s="20" t="s">
        <v>1332</v>
      </c>
      <c r="H93" s="21" t="s">
        <v>132</v>
      </c>
      <c r="I93" s="22" t="s">
        <v>116</v>
      </c>
      <c r="J93" s="22" t="s">
        <v>116</v>
      </c>
      <c r="K93" s="23"/>
      <c r="L93" s="23" t="str">
        <f>"190,0"</f>
        <v>190,0</v>
      </c>
      <c r="M93" s="23" t="str">
        <f>"118,0090"</f>
        <v>118,0090</v>
      </c>
      <c r="N93" s="27" t="s">
        <v>37</v>
      </c>
    </row>
    <row r="94" spans="1:14" ht="12.75">
      <c r="A94" s="23" t="s">
        <v>142</v>
      </c>
      <c r="B94" s="20" t="s">
        <v>1333</v>
      </c>
      <c r="C94" s="20" t="s">
        <v>1334</v>
      </c>
      <c r="D94" s="20" t="s">
        <v>210</v>
      </c>
      <c r="E94" s="20" t="str">
        <f>"0,6150"</f>
        <v>0,6150</v>
      </c>
      <c r="F94" s="27" t="s">
        <v>285</v>
      </c>
      <c r="G94" s="20" t="s">
        <v>16</v>
      </c>
      <c r="H94" s="21" t="s">
        <v>132</v>
      </c>
      <c r="I94" s="22" t="s">
        <v>116</v>
      </c>
      <c r="J94" s="22" t="s">
        <v>116</v>
      </c>
      <c r="K94" s="23"/>
      <c r="L94" s="23" t="str">
        <f>"190,0"</f>
        <v>190,0</v>
      </c>
      <c r="M94" s="23" t="str">
        <f>"116,8500"</f>
        <v>116,8500</v>
      </c>
      <c r="N94" s="27" t="s">
        <v>37</v>
      </c>
    </row>
    <row r="95" spans="1:14" ht="12.75">
      <c r="A95" s="23" t="s">
        <v>427</v>
      </c>
      <c r="B95" s="20" t="s">
        <v>1335</v>
      </c>
      <c r="C95" s="20" t="s">
        <v>1336</v>
      </c>
      <c r="D95" s="20" t="s">
        <v>197</v>
      </c>
      <c r="E95" s="20" t="str">
        <f>"0,6093"</f>
        <v>0,6093</v>
      </c>
      <c r="F95" s="20" t="s">
        <v>15</v>
      </c>
      <c r="G95" s="20" t="s">
        <v>16</v>
      </c>
      <c r="H95" s="21" t="s">
        <v>132</v>
      </c>
      <c r="I95" s="22" t="s">
        <v>138</v>
      </c>
      <c r="J95" s="23"/>
      <c r="K95" s="23"/>
      <c r="L95" s="23" t="str">
        <f>"190,0"</f>
        <v>190,0</v>
      </c>
      <c r="M95" s="23" t="str">
        <f>"115,7670"</f>
        <v>115,7670</v>
      </c>
      <c r="N95" s="27" t="s">
        <v>37</v>
      </c>
    </row>
    <row r="96" spans="1:14" ht="12.75">
      <c r="A96" s="23" t="s">
        <v>731</v>
      </c>
      <c r="B96" s="20" t="s">
        <v>1337</v>
      </c>
      <c r="C96" s="20" t="s">
        <v>1338</v>
      </c>
      <c r="D96" s="20" t="s">
        <v>1339</v>
      </c>
      <c r="E96" s="20" t="str">
        <f>"0,6226"</f>
        <v>0,6226</v>
      </c>
      <c r="F96" s="20" t="s">
        <v>15</v>
      </c>
      <c r="G96" s="20" t="s">
        <v>1340</v>
      </c>
      <c r="H96" s="21" t="s">
        <v>194</v>
      </c>
      <c r="I96" s="21" t="s">
        <v>123</v>
      </c>
      <c r="J96" s="22" t="s">
        <v>132</v>
      </c>
      <c r="K96" s="23"/>
      <c r="L96" s="23" t="str">
        <f>"185,0"</f>
        <v>185,0</v>
      </c>
      <c r="M96" s="23" t="str">
        <f>"115,1810"</f>
        <v>115,1810</v>
      </c>
      <c r="N96" s="27" t="s">
        <v>37</v>
      </c>
    </row>
    <row r="97" spans="1:14" ht="12.75">
      <c r="A97" s="23" t="s">
        <v>736</v>
      </c>
      <c r="B97" s="20" t="s">
        <v>1341</v>
      </c>
      <c r="C97" s="20" t="s">
        <v>1342</v>
      </c>
      <c r="D97" s="20" t="s">
        <v>994</v>
      </c>
      <c r="E97" s="20" t="str">
        <f>"0,6118"</f>
        <v>0,6118</v>
      </c>
      <c r="F97" s="20" t="s">
        <v>15</v>
      </c>
      <c r="G97" s="20" t="s">
        <v>1343</v>
      </c>
      <c r="H97" s="21" t="s">
        <v>80</v>
      </c>
      <c r="I97" s="22" t="s">
        <v>104</v>
      </c>
      <c r="J97" s="22" t="s">
        <v>104</v>
      </c>
      <c r="K97" s="23"/>
      <c r="L97" s="23" t="str">
        <f>"150,0"</f>
        <v>150,0</v>
      </c>
      <c r="M97" s="23" t="str">
        <f>"91,7700"</f>
        <v>91,7700</v>
      </c>
      <c r="N97" s="27" t="s">
        <v>37</v>
      </c>
    </row>
    <row r="98" spans="1:14" ht="12.75">
      <c r="A98" s="23" t="s">
        <v>741</v>
      </c>
      <c r="B98" s="20" t="s">
        <v>1344</v>
      </c>
      <c r="C98" s="20" t="s">
        <v>1345</v>
      </c>
      <c r="D98" s="20" t="s">
        <v>1346</v>
      </c>
      <c r="E98" s="20" t="str">
        <f>"0,6263"</f>
        <v>0,6263</v>
      </c>
      <c r="F98" s="20" t="s">
        <v>15</v>
      </c>
      <c r="G98" s="20" t="s">
        <v>1347</v>
      </c>
      <c r="H98" s="21" t="s">
        <v>58</v>
      </c>
      <c r="I98" s="22" t="s">
        <v>80</v>
      </c>
      <c r="J98" s="22" t="s">
        <v>80</v>
      </c>
      <c r="K98" s="23"/>
      <c r="L98" s="23" t="str">
        <f>"140,0"</f>
        <v>140,0</v>
      </c>
      <c r="M98" s="23" t="str">
        <f>"87,6820"</f>
        <v>87,6820</v>
      </c>
      <c r="N98" s="27" t="s">
        <v>37</v>
      </c>
    </row>
    <row r="99" spans="1:14" ht="12.75">
      <c r="A99" s="23" t="s">
        <v>13</v>
      </c>
      <c r="B99" s="20" t="s">
        <v>1348</v>
      </c>
      <c r="C99" s="20" t="s">
        <v>1349</v>
      </c>
      <c r="D99" s="20" t="s">
        <v>1309</v>
      </c>
      <c r="E99" s="20" t="str">
        <f>"0,6276"</f>
        <v>0,6276</v>
      </c>
      <c r="F99" s="27" t="s">
        <v>86</v>
      </c>
      <c r="G99" s="20" t="s">
        <v>392</v>
      </c>
      <c r="H99" s="22" t="s">
        <v>131</v>
      </c>
      <c r="I99" s="22" t="s">
        <v>131</v>
      </c>
      <c r="J99" s="22" t="s">
        <v>131</v>
      </c>
      <c r="K99" s="23"/>
      <c r="L99" s="23" t="s">
        <v>23</v>
      </c>
      <c r="M99" s="23" t="str">
        <f>"0,0000"</f>
        <v>0,0000</v>
      </c>
      <c r="N99" s="27" t="s">
        <v>37</v>
      </c>
    </row>
    <row r="100" spans="1:14" ht="12.75">
      <c r="A100" s="23" t="s">
        <v>13</v>
      </c>
      <c r="B100" s="20" t="s">
        <v>1350</v>
      </c>
      <c r="C100" s="20" t="s">
        <v>1351</v>
      </c>
      <c r="D100" s="20" t="s">
        <v>463</v>
      </c>
      <c r="E100" s="20" t="str">
        <f>"0,6136"</f>
        <v>0,6136</v>
      </c>
      <c r="F100" s="20" t="s">
        <v>15</v>
      </c>
      <c r="G100" s="20" t="s">
        <v>1043</v>
      </c>
      <c r="H100" s="22" t="s">
        <v>105</v>
      </c>
      <c r="I100" s="22" t="s">
        <v>105</v>
      </c>
      <c r="J100" s="23"/>
      <c r="K100" s="23"/>
      <c r="L100" s="23" t="s">
        <v>23</v>
      </c>
      <c r="M100" s="23" t="str">
        <f>"0,0000"</f>
        <v>0,0000</v>
      </c>
      <c r="N100" s="27" t="s">
        <v>37</v>
      </c>
    </row>
    <row r="101" spans="1:14" ht="12.75">
      <c r="A101" s="23" t="s">
        <v>13</v>
      </c>
      <c r="B101" s="20" t="s">
        <v>1352</v>
      </c>
      <c r="C101" s="20" t="s">
        <v>1353</v>
      </c>
      <c r="D101" s="20" t="s">
        <v>423</v>
      </c>
      <c r="E101" s="20" t="str">
        <f>"0,6101"</f>
        <v>0,6101</v>
      </c>
      <c r="F101" s="20" t="s">
        <v>15</v>
      </c>
      <c r="G101" s="20" t="s">
        <v>16</v>
      </c>
      <c r="H101" s="22" t="s">
        <v>132</v>
      </c>
      <c r="I101" s="22" t="s">
        <v>124</v>
      </c>
      <c r="J101" s="22" t="s">
        <v>124</v>
      </c>
      <c r="K101" s="23"/>
      <c r="L101" s="23" t="s">
        <v>23</v>
      </c>
      <c r="M101" s="23" t="str">
        <f>"0,0000"</f>
        <v>0,0000</v>
      </c>
      <c r="N101" s="27" t="s">
        <v>961</v>
      </c>
    </row>
    <row r="102" spans="1:14" ht="12.75">
      <c r="A102" s="23" t="s">
        <v>13</v>
      </c>
      <c r="B102" s="20" t="s">
        <v>1354</v>
      </c>
      <c r="C102" s="20" t="s">
        <v>171</v>
      </c>
      <c r="D102" s="20" t="s">
        <v>425</v>
      </c>
      <c r="E102" s="20" t="str">
        <f>"0,6091"</f>
        <v>0,6091</v>
      </c>
      <c r="F102" s="27" t="s">
        <v>165</v>
      </c>
      <c r="G102" s="20" t="s">
        <v>383</v>
      </c>
      <c r="H102" s="22" t="s">
        <v>124</v>
      </c>
      <c r="I102" s="22" t="s">
        <v>124</v>
      </c>
      <c r="J102" s="22" t="s">
        <v>124</v>
      </c>
      <c r="K102" s="23"/>
      <c r="L102" s="23" t="s">
        <v>23</v>
      </c>
      <c r="M102" s="23" t="str">
        <f>"0,0000"</f>
        <v>0,0000</v>
      </c>
      <c r="N102" s="27" t="s">
        <v>37</v>
      </c>
    </row>
    <row r="103" spans="1:14" ht="12.75">
      <c r="A103" s="23" t="s">
        <v>24</v>
      </c>
      <c r="B103" s="20" t="s">
        <v>1355</v>
      </c>
      <c r="C103" s="20" t="s">
        <v>1356</v>
      </c>
      <c r="D103" s="20" t="s">
        <v>428</v>
      </c>
      <c r="E103" s="20" t="str">
        <f>"0,6166"</f>
        <v>0,6166</v>
      </c>
      <c r="F103" s="27" t="s">
        <v>252</v>
      </c>
      <c r="G103" s="20" t="s">
        <v>878</v>
      </c>
      <c r="H103" s="21" t="s">
        <v>376</v>
      </c>
      <c r="I103" s="21" t="s">
        <v>146</v>
      </c>
      <c r="J103" s="21" t="s">
        <v>117</v>
      </c>
      <c r="K103" s="23"/>
      <c r="L103" s="23" t="str">
        <f>"210,0"</f>
        <v>210,0</v>
      </c>
      <c r="M103" s="23" t="str">
        <f>"130,1334"</f>
        <v>130,1334</v>
      </c>
      <c r="N103" s="27" t="s">
        <v>37</v>
      </c>
    </row>
    <row r="104" spans="1:14" ht="12.75">
      <c r="A104" s="23" t="s">
        <v>38</v>
      </c>
      <c r="B104" s="20" t="s">
        <v>281</v>
      </c>
      <c r="C104" s="20" t="s">
        <v>291</v>
      </c>
      <c r="D104" s="20" t="s">
        <v>282</v>
      </c>
      <c r="E104" s="20" t="str">
        <f>"0,6113"</f>
        <v>0,6113</v>
      </c>
      <c r="F104" s="20" t="s">
        <v>15</v>
      </c>
      <c r="G104" s="20" t="s">
        <v>100</v>
      </c>
      <c r="H104" s="21" t="s">
        <v>132</v>
      </c>
      <c r="I104" s="21" t="s">
        <v>116</v>
      </c>
      <c r="J104" s="21" t="s">
        <v>146</v>
      </c>
      <c r="K104" s="23"/>
      <c r="L104" s="23" t="str">
        <f>"205,0"</f>
        <v>205,0</v>
      </c>
      <c r="M104" s="23" t="str">
        <f>"130,8304"</f>
        <v>130,8304</v>
      </c>
      <c r="N104" s="27" t="s">
        <v>37</v>
      </c>
    </row>
    <row r="105" spans="1:14" ht="12.75">
      <c r="A105" s="23" t="s">
        <v>72</v>
      </c>
      <c r="B105" s="20" t="s">
        <v>1357</v>
      </c>
      <c r="C105" s="20" t="s">
        <v>1358</v>
      </c>
      <c r="D105" s="20" t="s">
        <v>481</v>
      </c>
      <c r="E105" s="20" t="str">
        <f>"0,6098"</f>
        <v>0,6098</v>
      </c>
      <c r="F105" s="20" t="s">
        <v>15</v>
      </c>
      <c r="G105" s="20" t="s">
        <v>16</v>
      </c>
      <c r="H105" s="21" t="s">
        <v>116</v>
      </c>
      <c r="I105" s="21" t="s">
        <v>146</v>
      </c>
      <c r="J105" s="22" t="s">
        <v>117</v>
      </c>
      <c r="K105" s="23"/>
      <c r="L105" s="23" t="str">
        <f>"205,0"</f>
        <v>205,0</v>
      </c>
      <c r="M105" s="23" t="str">
        <f>"132,5095"</f>
        <v>132,5095</v>
      </c>
      <c r="N105" s="27" t="s">
        <v>1359</v>
      </c>
    </row>
    <row r="106" spans="1:14" ht="12.75">
      <c r="A106" s="23" t="s">
        <v>13</v>
      </c>
      <c r="B106" s="20" t="s">
        <v>1360</v>
      </c>
      <c r="C106" s="20" t="s">
        <v>1361</v>
      </c>
      <c r="D106" s="20" t="s">
        <v>1323</v>
      </c>
      <c r="E106" s="20" t="str">
        <f>"0,6197"</f>
        <v>0,6197</v>
      </c>
      <c r="F106" s="20" t="s">
        <v>15</v>
      </c>
      <c r="G106" s="20" t="s">
        <v>16</v>
      </c>
      <c r="H106" s="22" t="s">
        <v>132</v>
      </c>
      <c r="I106" s="22" t="s">
        <v>124</v>
      </c>
      <c r="J106" s="22" t="s">
        <v>124</v>
      </c>
      <c r="K106" s="23"/>
      <c r="L106" s="23" t="s">
        <v>23</v>
      </c>
      <c r="M106" s="23" t="str">
        <f>"0,0000"</f>
        <v>0,0000</v>
      </c>
      <c r="N106" s="27" t="s">
        <v>1180</v>
      </c>
    </row>
    <row r="107" spans="1:14" ht="12.75">
      <c r="A107" s="23" t="s">
        <v>24</v>
      </c>
      <c r="B107" s="20" t="s">
        <v>1317</v>
      </c>
      <c r="C107" s="20" t="s">
        <v>1362</v>
      </c>
      <c r="D107" s="20" t="s">
        <v>292</v>
      </c>
      <c r="E107" s="20" t="str">
        <f>"0,6129"</f>
        <v>0,6129</v>
      </c>
      <c r="F107" s="20" t="s">
        <v>15</v>
      </c>
      <c r="G107" s="20" t="s">
        <v>351</v>
      </c>
      <c r="H107" s="22" t="s">
        <v>211</v>
      </c>
      <c r="I107" s="21" t="s">
        <v>211</v>
      </c>
      <c r="J107" s="22" t="s">
        <v>135</v>
      </c>
      <c r="K107" s="23"/>
      <c r="L107" s="23" t="str">
        <f>"227,5"</f>
        <v>227,5</v>
      </c>
      <c r="M107" s="23" t="str">
        <f>"162,8598"</f>
        <v>162,8598</v>
      </c>
      <c r="N107" s="27" t="s">
        <v>37</v>
      </c>
    </row>
    <row r="108" spans="1:14" ht="12.75">
      <c r="A108" s="23" t="s">
        <v>24</v>
      </c>
      <c r="B108" s="20" t="s">
        <v>1363</v>
      </c>
      <c r="C108" s="20" t="s">
        <v>1364</v>
      </c>
      <c r="D108" s="20" t="s">
        <v>990</v>
      </c>
      <c r="E108" s="20" t="str">
        <f>"0,6123"</f>
        <v>0,6123</v>
      </c>
      <c r="F108" s="20" t="s">
        <v>15</v>
      </c>
      <c r="G108" s="20" t="s">
        <v>1365</v>
      </c>
      <c r="H108" s="21" t="s">
        <v>82</v>
      </c>
      <c r="I108" s="22" t="s">
        <v>95</v>
      </c>
      <c r="J108" s="22" t="s">
        <v>68</v>
      </c>
      <c r="K108" s="23"/>
      <c r="L108" s="23" t="str">
        <f>"125,0"</f>
        <v>125,0</v>
      </c>
      <c r="M108" s="23" t="str">
        <f>"107,9179"</f>
        <v>107,9179</v>
      </c>
      <c r="N108" s="27" t="s">
        <v>37</v>
      </c>
    </row>
    <row r="109" spans="1:14" ht="12.75">
      <c r="A109" s="18" t="s">
        <v>38</v>
      </c>
      <c r="B109" s="16" t="s">
        <v>1366</v>
      </c>
      <c r="C109" s="16" t="s">
        <v>1367</v>
      </c>
      <c r="D109" s="16" t="s">
        <v>372</v>
      </c>
      <c r="E109" s="16" t="str">
        <f>"0,6177"</f>
        <v>0,6177</v>
      </c>
      <c r="F109" s="16" t="s">
        <v>15</v>
      </c>
      <c r="G109" s="16" t="s">
        <v>1365</v>
      </c>
      <c r="H109" s="17" t="s">
        <v>34</v>
      </c>
      <c r="I109" s="19" t="s">
        <v>64</v>
      </c>
      <c r="J109" s="19" t="s">
        <v>64</v>
      </c>
      <c r="K109" s="18"/>
      <c r="L109" s="18" t="str">
        <f>"115,0"</f>
        <v>115,0</v>
      </c>
      <c r="M109" s="18" t="str">
        <f>"111,1706"</f>
        <v>111,1706</v>
      </c>
      <c r="N109" s="28" t="s">
        <v>445</v>
      </c>
    </row>
    <row r="110" ht="12.75">
      <c r="B110" s="6" t="s">
        <v>31</v>
      </c>
    </row>
    <row r="111" spans="1:13" ht="15">
      <c r="A111" s="43" t="s">
        <v>212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4" ht="12.75">
      <c r="A112" s="15" t="s">
        <v>24</v>
      </c>
      <c r="B112" s="12" t="s">
        <v>1368</v>
      </c>
      <c r="C112" s="12" t="s">
        <v>1369</v>
      </c>
      <c r="D112" s="12" t="s">
        <v>1370</v>
      </c>
      <c r="E112" s="12" t="str">
        <f>"0,5914"</f>
        <v>0,5914</v>
      </c>
      <c r="F112" s="26" t="s">
        <v>329</v>
      </c>
      <c r="G112" s="12" t="s">
        <v>330</v>
      </c>
      <c r="H112" s="13" t="s">
        <v>113</v>
      </c>
      <c r="I112" s="13" t="s">
        <v>127</v>
      </c>
      <c r="J112" s="14" t="s">
        <v>186</v>
      </c>
      <c r="K112" s="15"/>
      <c r="L112" s="15" t="str">
        <f>"255,0"</f>
        <v>255,0</v>
      </c>
      <c r="M112" s="15" t="str">
        <f>"150,8070"</f>
        <v>150,8070</v>
      </c>
      <c r="N112" s="26" t="s">
        <v>37</v>
      </c>
    </row>
    <row r="113" spans="1:14" ht="12.75">
      <c r="A113" s="23" t="s">
        <v>38</v>
      </c>
      <c r="B113" s="20" t="s">
        <v>1371</v>
      </c>
      <c r="C113" s="20" t="s">
        <v>820</v>
      </c>
      <c r="D113" s="20" t="s">
        <v>1372</v>
      </c>
      <c r="E113" s="20" t="str">
        <f>"0,5930"</f>
        <v>0,5930</v>
      </c>
      <c r="F113" s="20" t="s">
        <v>15</v>
      </c>
      <c r="G113" s="20" t="s">
        <v>225</v>
      </c>
      <c r="H113" s="21" t="s">
        <v>112</v>
      </c>
      <c r="I113" s="21" t="s">
        <v>113</v>
      </c>
      <c r="J113" s="22" t="s">
        <v>127</v>
      </c>
      <c r="K113" s="23"/>
      <c r="L113" s="23" t="str">
        <f>"250,0"</f>
        <v>250,0</v>
      </c>
      <c r="M113" s="23" t="str">
        <f>"148,2500"</f>
        <v>148,2500</v>
      </c>
      <c r="N113" s="27" t="s">
        <v>37</v>
      </c>
    </row>
    <row r="114" spans="1:14" ht="12.75">
      <c r="A114" s="23" t="s">
        <v>72</v>
      </c>
      <c r="B114" s="20" t="s">
        <v>1373</v>
      </c>
      <c r="C114" s="20" t="s">
        <v>1374</v>
      </c>
      <c r="D114" s="20" t="s">
        <v>1375</v>
      </c>
      <c r="E114" s="20" t="str">
        <f>"0,5994"</f>
        <v>0,5994</v>
      </c>
      <c r="F114" s="20" t="s">
        <v>15</v>
      </c>
      <c r="G114" s="27" t="s">
        <v>1376</v>
      </c>
      <c r="H114" s="21" t="s">
        <v>156</v>
      </c>
      <c r="I114" s="22" t="s">
        <v>121</v>
      </c>
      <c r="J114" s="22" t="s">
        <v>121</v>
      </c>
      <c r="K114" s="23"/>
      <c r="L114" s="23" t="str">
        <f>"245,0"</f>
        <v>245,0</v>
      </c>
      <c r="M114" s="23" t="str">
        <f>"146,8530"</f>
        <v>146,8530</v>
      </c>
      <c r="N114" s="27" t="s">
        <v>37</v>
      </c>
    </row>
    <row r="115" spans="1:14" ht="12.75">
      <c r="A115" s="23" t="s">
        <v>74</v>
      </c>
      <c r="B115" s="20" t="s">
        <v>1377</v>
      </c>
      <c r="C115" s="20" t="s">
        <v>1378</v>
      </c>
      <c r="D115" s="20" t="s">
        <v>216</v>
      </c>
      <c r="E115" s="20" t="str">
        <f>"0,5909"</f>
        <v>0,5909</v>
      </c>
      <c r="F115" s="20" t="s">
        <v>15</v>
      </c>
      <c r="G115" s="20" t="s">
        <v>1379</v>
      </c>
      <c r="H115" s="21" t="s">
        <v>156</v>
      </c>
      <c r="I115" s="22" t="s">
        <v>113</v>
      </c>
      <c r="J115" s="22" t="s">
        <v>121</v>
      </c>
      <c r="K115" s="23"/>
      <c r="L115" s="23" t="str">
        <f>"245,0"</f>
        <v>245,0</v>
      </c>
      <c r="M115" s="23" t="str">
        <f>"144,7705"</f>
        <v>144,7705</v>
      </c>
      <c r="N115" s="27" t="s">
        <v>37</v>
      </c>
    </row>
    <row r="116" spans="1:14" ht="12.75">
      <c r="A116" s="23" t="s">
        <v>85</v>
      </c>
      <c r="B116" s="20" t="s">
        <v>1380</v>
      </c>
      <c r="C116" s="20" t="s">
        <v>1381</v>
      </c>
      <c r="D116" s="20" t="s">
        <v>213</v>
      </c>
      <c r="E116" s="20" t="str">
        <f>"0,5921"</f>
        <v>0,5921</v>
      </c>
      <c r="F116" s="20" t="s">
        <v>15</v>
      </c>
      <c r="G116" s="27" t="s">
        <v>795</v>
      </c>
      <c r="H116" s="21" t="s">
        <v>117</v>
      </c>
      <c r="I116" s="21" t="s">
        <v>256</v>
      </c>
      <c r="J116" s="21" t="s">
        <v>120</v>
      </c>
      <c r="K116" s="23"/>
      <c r="L116" s="23" t="str">
        <f>"230,0"</f>
        <v>230,0</v>
      </c>
      <c r="M116" s="23" t="str">
        <f>"136,1830"</f>
        <v>136,1830</v>
      </c>
      <c r="N116" s="27" t="s">
        <v>37</v>
      </c>
    </row>
    <row r="117" spans="1:14" ht="12.75">
      <c r="A117" s="23" t="s">
        <v>136</v>
      </c>
      <c r="B117" s="20" t="s">
        <v>484</v>
      </c>
      <c r="C117" s="20" t="s">
        <v>485</v>
      </c>
      <c r="D117" s="20" t="s">
        <v>486</v>
      </c>
      <c r="E117" s="20" t="str">
        <f>"0,5964"</f>
        <v>0,5964</v>
      </c>
      <c r="F117" s="27" t="s">
        <v>487</v>
      </c>
      <c r="G117" s="20" t="s">
        <v>488</v>
      </c>
      <c r="H117" s="21" t="s">
        <v>117</v>
      </c>
      <c r="I117" s="22" t="s">
        <v>108</v>
      </c>
      <c r="J117" s="21" t="s">
        <v>108</v>
      </c>
      <c r="K117" s="23"/>
      <c r="L117" s="23" t="str">
        <f>"217,5"</f>
        <v>217,5</v>
      </c>
      <c r="M117" s="23" t="str">
        <f>"129,7170"</f>
        <v>129,7170</v>
      </c>
      <c r="N117" s="27" t="s">
        <v>37</v>
      </c>
    </row>
    <row r="118" spans="1:14" ht="12.75">
      <c r="A118" s="23" t="s">
        <v>139</v>
      </c>
      <c r="B118" s="20" t="s">
        <v>1382</v>
      </c>
      <c r="C118" s="20" t="s">
        <v>1383</v>
      </c>
      <c r="D118" s="20" t="s">
        <v>1073</v>
      </c>
      <c r="E118" s="20" t="str">
        <f>"0,5946"</f>
        <v>0,5946</v>
      </c>
      <c r="F118" s="20" t="s">
        <v>15</v>
      </c>
      <c r="G118" s="20" t="s">
        <v>76</v>
      </c>
      <c r="H118" s="22" t="s">
        <v>116</v>
      </c>
      <c r="I118" s="21" t="s">
        <v>146</v>
      </c>
      <c r="J118" s="21" t="s">
        <v>117</v>
      </c>
      <c r="K118" s="23"/>
      <c r="L118" s="23" t="str">
        <f>"210,0"</f>
        <v>210,0</v>
      </c>
      <c r="M118" s="23" t="str">
        <f>"124,8660"</f>
        <v>124,8660</v>
      </c>
      <c r="N118" s="27" t="s">
        <v>1384</v>
      </c>
    </row>
    <row r="119" spans="1:14" ht="12.75">
      <c r="A119" s="23" t="s">
        <v>142</v>
      </c>
      <c r="B119" s="20" t="s">
        <v>1385</v>
      </c>
      <c r="C119" s="20" t="s">
        <v>1386</v>
      </c>
      <c r="D119" s="20" t="s">
        <v>1387</v>
      </c>
      <c r="E119" s="20" t="str">
        <f>"0,5943"</f>
        <v>0,5943</v>
      </c>
      <c r="F119" s="27" t="s">
        <v>329</v>
      </c>
      <c r="G119" s="20" t="s">
        <v>438</v>
      </c>
      <c r="H119" s="22" t="s">
        <v>117</v>
      </c>
      <c r="I119" s="21" t="s">
        <v>117</v>
      </c>
      <c r="J119" s="22" t="s">
        <v>256</v>
      </c>
      <c r="K119" s="23"/>
      <c r="L119" s="23" t="str">
        <f>"210,0"</f>
        <v>210,0</v>
      </c>
      <c r="M119" s="23" t="str">
        <f>"124,8030"</f>
        <v>124,8030</v>
      </c>
      <c r="N119" s="27" t="s">
        <v>1388</v>
      </c>
    </row>
    <row r="120" spans="1:14" ht="12.75">
      <c r="A120" s="23" t="s">
        <v>427</v>
      </c>
      <c r="B120" s="20" t="s">
        <v>298</v>
      </c>
      <c r="C120" s="20" t="s">
        <v>299</v>
      </c>
      <c r="D120" s="20" t="s">
        <v>303</v>
      </c>
      <c r="E120" s="20" t="str">
        <f>"0,5902"</f>
        <v>0,5902</v>
      </c>
      <c r="F120" s="20" t="s">
        <v>15</v>
      </c>
      <c r="G120" s="20" t="s">
        <v>16</v>
      </c>
      <c r="H120" s="21" t="s">
        <v>117</v>
      </c>
      <c r="I120" s="22" t="s">
        <v>148</v>
      </c>
      <c r="J120" s="22" t="s">
        <v>148</v>
      </c>
      <c r="K120" s="23"/>
      <c r="L120" s="23" t="str">
        <f>"210,0"</f>
        <v>210,0</v>
      </c>
      <c r="M120" s="23" t="str">
        <f>"123,9420"</f>
        <v>123,9420</v>
      </c>
      <c r="N120" s="27" t="s">
        <v>37</v>
      </c>
    </row>
    <row r="121" spans="1:14" ht="12.75">
      <c r="A121" s="23" t="s">
        <v>731</v>
      </c>
      <c r="B121" s="20" t="s">
        <v>1389</v>
      </c>
      <c r="C121" s="20" t="s">
        <v>1390</v>
      </c>
      <c r="D121" s="20" t="s">
        <v>297</v>
      </c>
      <c r="E121" s="20" t="str">
        <f>"0,5885"</f>
        <v>0,5885</v>
      </c>
      <c r="F121" s="27" t="s">
        <v>252</v>
      </c>
      <c r="G121" s="20" t="s">
        <v>878</v>
      </c>
      <c r="H121" s="21" t="s">
        <v>116</v>
      </c>
      <c r="I121" s="22" t="s">
        <v>117</v>
      </c>
      <c r="J121" s="21" t="s">
        <v>117</v>
      </c>
      <c r="K121" s="23"/>
      <c r="L121" s="23" t="str">
        <f>"210,0"</f>
        <v>210,0</v>
      </c>
      <c r="M121" s="23" t="str">
        <f>"123,5850"</f>
        <v>123,5850</v>
      </c>
      <c r="N121" s="27" t="s">
        <v>37</v>
      </c>
    </row>
    <row r="122" spans="1:14" ht="12.75">
      <c r="A122" s="23" t="s">
        <v>736</v>
      </c>
      <c r="B122" s="20" t="s">
        <v>1391</v>
      </c>
      <c r="C122" s="20" t="s">
        <v>1392</v>
      </c>
      <c r="D122" s="20" t="s">
        <v>297</v>
      </c>
      <c r="E122" s="20" t="str">
        <f>"0,5885"</f>
        <v>0,5885</v>
      </c>
      <c r="F122" s="20" t="s">
        <v>15</v>
      </c>
      <c r="G122" s="20" t="s">
        <v>290</v>
      </c>
      <c r="H122" s="21" t="s">
        <v>146</v>
      </c>
      <c r="I122" s="22" t="s">
        <v>118</v>
      </c>
      <c r="J122" s="22" t="s">
        <v>148</v>
      </c>
      <c r="K122" s="23"/>
      <c r="L122" s="23" t="str">
        <f>"205,0"</f>
        <v>205,0</v>
      </c>
      <c r="M122" s="23" t="str">
        <f>"120,6425"</f>
        <v>120,6425</v>
      </c>
      <c r="N122" s="27" t="s">
        <v>37</v>
      </c>
    </row>
    <row r="123" spans="1:14" ht="12.75">
      <c r="A123" s="23" t="s">
        <v>741</v>
      </c>
      <c r="B123" s="20" t="s">
        <v>1393</v>
      </c>
      <c r="C123" s="20" t="s">
        <v>1394</v>
      </c>
      <c r="D123" s="20" t="s">
        <v>1395</v>
      </c>
      <c r="E123" s="20" t="str">
        <f>"0,5937"</f>
        <v>0,5937</v>
      </c>
      <c r="F123" s="20" t="s">
        <v>15</v>
      </c>
      <c r="G123" s="20" t="s">
        <v>435</v>
      </c>
      <c r="H123" s="21" t="s">
        <v>138</v>
      </c>
      <c r="I123" s="22" t="s">
        <v>116</v>
      </c>
      <c r="J123" s="21" t="s">
        <v>125</v>
      </c>
      <c r="K123" s="23"/>
      <c r="L123" s="23" t="str">
        <f>"202,5"</f>
        <v>202,5</v>
      </c>
      <c r="M123" s="23" t="str">
        <f>"120,2242"</f>
        <v>120,2242</v>
      </c>
      <c r="N123" s="27" t="s">
        <v>37</v>
      </c>
    </row>
    <row r="124" spans="1:14" ht="12.75">
      <c r="A124" s="23" t="s">
        <v>744</v>
      </c>
      <c r="B124" s="20" t="s">
        <v>1396</v>
      </c>
      <c r="C124" s="20" t="s">
        <v>1397</v>
      </c>
      <c r="D124" s="20" t="s">
        <v>1398</v>
      </c>
      <c r="E124" s="20" t="str">
        <f>"0,6000"</f>
        <v>0,6000</v>
      </c>
      <c r="F124" s="20" t="s">
        <v>15</v>
      </c>
      <c r="G124" s="20" t="s">
        <v>209</v>
      </c>
      <c r="H124" s="21" t="s">
        <v>116</v>
      </c>
      <c r="I124" s="22" t="s">
        <v>287</v>
      </c>
      <c r="J124" s="22" t="s">
        <v>287</v>
      </c>
      <c r="K124" s="23"/>
      <c r="L124" s="23" t="str">
        <f>"200,0"</f>
        <v>200,0</v>
      </c>
      <c r="M124" s="23" t="str">
        <f>"120,0000"</f>
        <v>120,0000</v>
      </c>
      <c r="N124" s="27" t="s">
        <v>1399</v>
      </c>
    </row>
    <row r="125" spans="1:14" ht="12.75">
      <c r="A125" s="23" t="s">
        <v>747</v>
      </c>
      <c r="B125" s="20" t="s">
        <v>1400</v>
      </c>
      <c r="C125" s="20" t="s">
        <v>1401</v>
      </c>
      <c r="D125" s="20" t="s">
        <v>1402</v>
      </c>
      <c r="E125" s="20" t="str">
        <f>"0,5986"</f>
        <v>0,5986</v>
      </c>
      <c r="F125" s="20" t="s">
        <v>15</v>
      </c>
      <c r="G125" s="20" t="s">
        <v>351</v>
      </c>
      <c r="H125" s="21" t="s">
        <v>131</v>
      </c>
      <c r="I125" s="22" t="s">
        <v>132</v>
      </c>
      <c r="J125" s="21" t="s">
        <v>132</v>
      </c>
      <c r="K125" s="23"/>
      <c r="L125" s="23" t="str">
        <f>"190,0"</f>
        <v>190,0</v>
      </c>
      <c r="M125" s="23" t="str">
        <f>"113,7340"</f>
        <v>113,7340</v>
      </c>
      <c r="N125" s="27" t="s">
        <v>988</v>
      </c>
    </row>
    <row r="126" spans="1:14" ht="12.75">
      <c r="A126" s="23" t="s">
        <v>750</v>
      </c>
      <c r="B126" s="20" t="s">
        <v>1403</v>
      </c>
      <c r="C126" s="20" t="s">
        <v>1404</v>
      </c>
      <c r="D126" s="20" t="s">
        <v>1405</v>
      </c>
      <c r="E126" s="20" t="str">
        <f>"0,6021"</f>
        <v>0,6021</v>
      </c>
      <c r="F126" s="20" t="s">
        <v>15</v>
      </c>
      <c r="G126" s="20" t="s">
        <v>181</v>
      </c>
      <c r="H126" s="21" t="s">
        <v>123</v>
      </c>
      <c r="I126" s="22" t="s">
        <v>138</v>
      </c>
      <c r="J126" s="22" t="s">
        <v>138</v>
      </c>
      <c r="K126" s="23"/>
      <c r="L126" s="23" t="str">
        <f>"185,0"</f>
        <v>185,0</v>
      </c>
      <c r="M126" s="23" t="str">
        <f>"111,3885"</f>
        <v>111,3885</v>
      </c>
      <c r="N126" s="27" t="s">
        <v>1406</v>
      </c>
    </row>
    <row r="127" spans="1:14" ht="12.75">
      <c r="A127" s="23" t="s">
        <v>753</v>
      </c>
      <c r="B127" s="20" t="s">
        <v>1407</v>
      </c>
      <c r="C127" s="20" t="s">
        <v>1408</v>
      </c>
      <c r="D127" s="20" t="s">
        <v>1073</v>
      </c>
      <c r="E127" s="20" t="str">
        <f>"0,5946"</f>
        <v>0,5946</v>
      </c>
      <c r="F127" s="20" t="s">
        <v>15</v>
      </c>
      <c r="G127" s="20" t="s">
        <v>1302</v>
      </c>
      <c r="H127" s="21" t="s">
        <v>102</v>
      </c>
      <c r="I127" s="22" t="s">
        <v>123</v>
      </c>
      <c r="J127" s="21" t="s">
        <v>123</v>
      </c>
      <c r="K127" s="23"/>
      <c r="L127" s="23" t="str">
        <f>"185,0"</f>
        <v>185,0</v>
      </c>
      <c r="M127" s="23" t="str">
        <f>"110,0010"</f>
        <v>110,0010</v>
      </c>
      <c r="N127" s="27" t="s">
        <v>37</v>
      </c>
    </row>
    <row r="128" spans="1:14" ht="12.75">
      <c r="A128" s="23" t="s">
        <v>904</v>
      </c>
      <c r="B128" s="20" t="s">
        <v>1409</v>
      </c>
      <c r="C128" s="20" t="s">
        <v>1410</v>
      </c>
      <c r="D128" s="20" t="s">
        <v>302</v>
      </c>
      <c r="E128" s="20" t="str">
        <f>"0,5907"</f>
        <v>0,5907</v>
      </c>
      <c r="F128" s="27" t="s">
        <v>285</v>
      </c>
      <c r="G128" s="20" t="s">
        <v>16</v>
      </c>
      <c r="H128" s="21" t="s">
        <v>222</v>
      </c>
      <c r="I128" s="22" t="s">
        <v>138</v>
      </c>
      <c r="J128" s="22" t="s">
        <v>138</v>
      </c>
      <c r="K128" s="23"/>
      <c r="L128" s="23" t="str">
        <f>"182,5"</f>
        <v>182,5</v>
      </c>
      <c r="M128" s="23" t="str">
        <f>"107,8027"</f>
        <v>107,8027</v>
      </c>
      <c r="N128" s="27" t="s">
        <v>37</v>
      </c>
    </row>
    <row r="129" spans="1:14" ht="12.75">
      <c r="A129" s="23" t="s">
        <v>909</v>
      </c>
      <c r="B129" s="20" t="s">
        <v>1411</v>
      </c>
      <c r="C129" s="20" t="s">
        <v>1412</v>
      </c>
      <c r="D129" s="20" t="s">
        <v>300</v>
      </c>
      <c r="E129" s="20" t="str">
        <f>"0,5926"</f>
        <v>0,5926</v>
      </c>
      <c r="F129" s="20" t="s">
        <v>15</v>
      </c>
      <c r="G129" s="20" t="s">
        <v>408</v>
      </c>
      <c r="H129" s="21" t="s">
        <v>105</v>
      </c>
      <c r="I129" s="21" t="s">
        <v>131</v>
      </c>
      <c r="J129" s="22" t="s">
        <v>132</v>
      </c>
      <c r="K129" s="23"/>
      <c r="L129" s="23" t="str">
        <f>"180,0"</f>
        <v>180,0</v>
      </c>
      <c r="M129" s="23" t="str">
        <f>"106,6680"</f>
        <v>106,6680</v>
      </c>
      <c r="N129" s="27" t="s">
        <v>1413</v>
      </c>
    </row>
    <row r="130" spans="1:14" ht="12.75">
      <c r="A130" s="23" t="s">
        <v>913</v>
      </c>
      <c r="B130" s="20" t="s">
        <v>1414</v>
      </c>
      <c r="C130" s="20" t="s">
        <v>1415</v>
      </c>
      <c r="D130" s="20" t="s">
        <v>1069</v>
      </c>
      <c r="E130" s="20" t="str">
        <f>"0,5905"</f>
        <v>0,5905</v>
      </c>
      <c r="F130" s="20" t="s">
        <v>15</v>
      </c>
      <c r="G130" s="20" t="s">
        <v>290</v>
      </c>
      <c r="H130" s="21" t="s">
        <v>102</v>
      </c>
      <c r="I130" s="22" t="s">
        <v>123</v>
      </c>
      <c r="J130" s="22" t="s">
        <v>123</v>
      </c>
      <c r="K130" s="23"/>
      <c r="L130" s="23" t="str">
        <f>"175,0"</f>
        <v>175,0</v>
      </c>
      <c r="M130" s="23" t="str">
        <f>"103,3375"</f>
        <v>103,3375</v>
      </c>
      <c r="N130" s="27" t="s">
        <v>1416</v>
      </c>
    </row>
    <row r="131" spans="1:14" ht="12.75">
      <c r="A131" s="23" t="s">
        <v>917</v>
      </c>
      <c r="B131" s="20" t="s">
        <v>1417</v>
      </c>
      <c r="C131" s="20" t="s">
        <v>1418</v>
      </c>
      <c r="D131" s="20" t="s">
        <v>1419</v>
      </c>
      <c r="E131" s="20" t="str">
        <f>"0,6032"</f>
        <v>0,6032</v>
      </c>
      <c r="F131" s="27" t="s">
        <v>329</v>
      </c>
      <c r="G131" s="20" t="s">
        <v>330</v>
      </c>
      <c r="H131" s="22" t="s">
        <v>59</v>
      </c>
      <c r="I131" s="21" t="s">
        <v>80</v>
      </c>
      <c r="J131" s="22" t="s">
        <v>104</v>
      </c>
      <c r="K131" s="23"/>
      <c r="L131" s="23" t="str">
        <f>"150,0"</f>
        <v>150,0</v>
      </c>
      <c r="M131" s="23" t="str">
        <f>"90,4800"</f>
        <v>90,4800</v>
      </c>
      <c r="N131" s="27" t="s">
        <v>331</v>
      </c>
    </row>
    <row r="132" spans="1:14" ht="12.75">
      <c r="A132" s="23" t="s">
        <v>13</v>
      </c>
      <c r="B132" s="20" t="s">
        <v>1420</v>
      </c>
      <c r="C132" s="20" t="s">
        <v>1421</v>
      </c>
      <c r="D132" s="20" t="s">
        <v>1422</v>
      </c>
      <c r="E132" s="20" t="str">
        <f>"0,5933"</f>
        <v>0,5933</v>
      </c>
      <c r="F132" s="20" t="s">
        <v>15</v>
      </c>
      <c r="G132" s="20" t="s">
        <v>310</v>
      </c>
      <c r="H132" s="22" t="s">
        <v>117</v>
      </c>
      <c r="I132" s="22" t="s">
        <v>117</v>
      </c>
      <c r="J132" s="22" t="s">
        <v>117</v>
      </c>
      <c r="K132" s="23"/>
      <c r="L132" s="23" t="s">
        <v>23</v>
      </c>
      <c r="M132" s="23" t="str">
        <f>"0,0000"</f>
        <v>0,0000</v>
      </c>
      <c r="N132" s="27" t="s">
        <v>37</v>
      </c>
    </row>
    <row r="133" spans="1:14" ht="12.75">
      <c r="A133" s="23" t="s">
        <v>13</v>
      </c>
      <c r="B133" s="20" t="s">
        <v>1423</v>
      </c>
      <c r="C133" s="20" t="s">
        <v>1424</v>
      </c>
      <c r="D133" s="20" t="s">
        <v>1425</v>
      </c>
      <c r="E133" s="20" t="str">
        <f>"0,5900"</f>
        <v>0,5900</v>
      </c>
      <c r="F133" s="20" t="s">
        <v>15</v>
      </c>
      <c r="G133" s="20" t="s">
        <v>16</v>
      </c>
      <c r="H133" s="22" t="s">
        <v>135</v>
      </c>
      <c r="I133" s="22" t="s">
        <v>177</v>
      </c>
      <c r="J133" s="22" t="s">
        <v>112</v>
      </c>
      <c r="K133" s="23"/>
      <c r="L133" s="23" t="s">
        <v>23</v>
      </c>
      <c r="M133" s="23" t="str">
        <f>"0,0000"</f>
        <v>0,0000</v>
      </c>
      <c r="N133" s="20" t="s">
        <v>1426</v>
      </c>
    </row>
    <row r="134" spans="1:14" ht="12.75">
      <c r="A134" s="23" t="s">
        <v>24</v>
      </c>
      <c r="B134" s="20" t="s">
        <v>1427</v>
      </c>
      <c r="C134" s="20" t="s">
        <v>1428</v>
      </c>
      <c r="D134" s="20" t="s">
        <v>434</v>
      </c>
      <c r="E134" s="20" t="str">
        <f>"0,5956"</f>
        <v>0,5956</v>
      </c>
      <c r="F134" s="20" t="s">
        <v>15</v>
      </c>
      <c r="G134" s="20" t="s">
        <v>351</v>
      </c>
      <c r="H134" s="21" t="s">
        <v>131</v>
      </c>
      <c r="I134" s="22" t="s">
        <v>123</v>
      </c>
      <c r="J134" s="22" t="s">
        <v>123</v>
      </c>
      <c r="K134" s="23"/>
      <c r="L134" s="23" t="str">
        <f>"180,0"</f>
        <v>180,0</v>
      </c>
      <c r="M134" s="23" t="str">
        <f>"110,2098"</f>
        <v>110,2098</v>
      </c>
      <c r="N134" s="27" t="s">
        <v>1429</v>
      </c>
    </row>
    <row r="135" spans="1:14" ht="12.75">
      <c r="A135" s="23" t="s">
        <v>38</v>
      </c>
      <c r="B135" s="20" t="s">
        <v>1430</v>
      </c>
      <c r="C135" s="20" t="s">
        <v>1431</v>
      </c>
      <c r="D135" s="20" t="s">
        <v>1370</v>
      </c>
      <c r="E135" s="20" t="str">
        <f>"0,5914"</f>
        <v>0,5914</v>
      </c>
      <c r="F135" s="20" t="s">
        <v>15</v>
      </c>
      <c r="G135" s="20" t="s">
        <v>424</v>
      </c>
      <c r="H135" s="22" t="s">
        <v>131</v>
      </c>
      <c r="I135" s="21" t="s">
        <v>131</v>
      </c>
      <c r="J135" s="22" t="s">
        <v>138</v>
      </c>
      <c r="K135" s="23"/>
      <c r="L135" s="23" t="str">
        <f>"180,0"</f>
        <v>180,0</v>
      </c>
      <c r="M135" s="23" t="str">
        <f>"107,9423"</f>
        <v>107,9423</v>
      </c>
      <c r="N135" s="27" t="s">
        <v>1432</v>
      </c>
    </row>
    <row r="136" spans="1:14" ht="12.75">
      <c r="A136" s="23" t="s">
        <v>72</v>
      </c>
      <c r="B136" s="20" t="s">
        <v>1433</v>
      </c>
      <c r="C136" s="20" t="s">
        <v>1434</v>
      </c>
      <c r="D136" s="20" t="s">
        <v>221</v>
      </c>
      <c r="E136" s="20" t="str">
        <f>"0,5910"</f>
        <v>0,5910</v>
      </c>
      <c r="F136" s="20" t="s">
        <v>15</v>
      </c>
      <c r="G136" s="20" t="s">
        <v>16</v>
      </c>
      <c r="H136" s="21" t="s">
        <v>105</v>
      </c>
      <c r="I136" s="21" t="s">
        <v>131</v>
      </c>
      <c r="J136" s="22" t="s">
        <v>123</v>
      </c>
      <c r="K136" s="23"/>
      <c r="L136" s="23" t="str">
        <f>"180,0"</f>
        <v>180,0</v>
      </c>
      <c r="M136" s="23" t="str">
        <f>"120,4222"</f>
        <v>120,4222</v>
      </c>
      <c r="N136" s="27" t="s">
        <v>251</v>
      </c>
    </row>
    <row r="137" spans="1:14" ht="12.75">
      <c r="A137" s="23" t="s">
        <v>74</v>
      </c>
      <c r="B137" s="20" t="s">
        <v>1435</v>
      </c>
      <c r="C137" s="20" t="s">
        <v>1436</v>
      </c>
      <c r="D137" s="20" t="s">
        <v>1032</v>
      </c>
      <c r="E137" s="20" t="str">
        <f>"0,5928"</f>
        <v>0,5928</v>
      </c>
      <c r="F137" s="20" t="s">
        <v>15</v>
      </c>
      <c r="G137" s="20" t="s">
        <v>16</v>
      </c>
      <c r="H137" s="21" t="s">
        <v>102</v>
      </c>
      <c r="I137" s="22" t="s">
        <v>138</v>
      </c>
      <c r="J137" s="22" t="s">
        <v>138</v>
      </c>
      <c r="K137" s="23"/>
      <c r="L137" s="23" t="str">
        <f>"175,0"</f>
        <v>175,0</v>
      </c>
      <c r="M137" s="23" t="str">
        <f>"104,2587"</f>
        <v>104,2587</v>
      </c>
      <c r="N137" s="27" t="s">
        <v>37</v>
      </c>
    </row>
    <row r="138" spans="1:14" ht="12.75">
      <c r="A138" s="23" t="s">
        <v>85</v>
      </c>
      <c r="B138" s="20" t="s">
        <v>219</v>
      </c>
      <c r="C138" s="20" t="s">
        <v>220</v>
      </c>
      <c r="D138" s="20" t="s">
        <v>303</v>
      </c>
      <c r="E138" s="20" t="str">
        <f>"0,5902"</f>
        <v>0,5902</v>
      </c>
      <c r="F138" s="20" t="s">
        <v>15</v>
      </c>
      <c r="G138" s="20" t="s">
        <v>209</v>
      </c>
      <c r="H138" s="21" t="s">
        <v>104</v>
      </c>
      <c r="I138" s="21" t="s">
        <v>102</v>
      </c>
      <c r="J138" s="22" t="s">
        <v>222</v>
      </c>
      <c r="K138" s="23"/>
      <c r="L138" s="23" t="str">
        <f>"175,0"</f>
        <v>175,0</v>
      </c>
      <c r="M138" s="23" t="str">
        <f>"104,7310"</f>
        <v>104,7310</v>
      </c>
      <c r="N138" s="27" t="s">
        <v>223</v>
      </c>
    </row>
    <row r="139" spans="1:14" ht="12.75">
      <c r="A139" s="23" t="s">
        <v>13</v>
      </c>
      <c r="B139" s="20" t="s">
        <v>1437</v>
      </c>
      <c r="C139" s="20" t="s">
        <v>1438</v>
      </c>
      <c r="D139" s="20" t="s">
        <v>1439</v>
      </c>
      <c r="E139" s="20" t="str">
        <f>"0,5924"</f>
        <v>0,5924</v>
      </c>
      <c r="F139" s="20" t="s">
        <v>15</v>
      </c>
      <c r="G139" s="20" t="s">
        <v>248</v>
      </c>
      <c r="H139" s="22" t="s">
        <v>138</v>
      </c>
      <c r="I139" s="22" t="s">
        <v>138</v>
      </c>
      <c r="J139" s="22" t="s">
        <v>138</v>
      </c>
      <c r="K139" s="23"/>
      <c r="L139" s="23" t="s">
        <v>23</v>
      </c>
      <c r="M139" s="23" t="str">
        <f>"0,0000"</f>
        <v>0,0000</v>
      </c>
      <c r="N139" s="27" t="s">
        <v>322</v>
      </c>
    </row>
    <row r="140" spans="1:14" ht="12.75">
      <c r="A140" s="23" t="s">
        <v>24</v>
      </c>
      <c r="B140" s="20" t="s">
        <v>1440</v>
      </c>
      <c r="C140" s="20" t="s">
        <v>1441</v>
      </c>
      <c r="D140" s="20" t="s">
        <v>1073</v>
      </c>
      <c r="E140" s="20" t="str">
        <f>"0,5946"</f>
        <v>0,5946</v>
      </c>
      <c r="F140" s="20" t="s">
        <v>15</v>
      </c>
      <c r="G140" s="27" t="s">
        <v>1442</v>
      </c>
      <c r="H140" s="21" t="s">
        <v>131</v>
      </c>
      <c r="I140" s="21" t="s">
        <v>138</v>
      </c>
      <c r="J140" s="22" t="s">
        <v>116</v>
      </c>
      <c r="K140" s="23"/>
      <c r="L140" s="23" t="str">
        <f>"192,5"</f>
        <v>192,5</v>
      </c>
      <c r="M140" s="23" t="str">
        <f>"131,6296"</f>
        <v>131,6296</v>
      </c>
      <c r="N140" s="27" t="s">
        <v>1443</v>
      </c>
    </row>
    <row r="141" spans="1:14" ht="12.75">
      <c r="A141" s="18" t="s">
        <v>38</v>
      </c>
      <c r="B141" s="16" t="s">
        <v>304</v>
      </c>
      <c r="C141" s="16" t="s">
        <v>305</v>
      </c>
      <c r="D141" s="16" t="s">
        <v>306</v>
      </c>
      <c r="E141" s="16" t="str">
        <f>"0,6060"</f>
        <v>0,6060</v>
      </c>
      <c r="F141" s="16" t="s">
        <v>15</v>
      </c>
      <c r="G141" s="16" t="s">
        <v>261</v>
      </c>
      <c r="H141" s="17" t="s">
        <v>28</v>
      </c>
      <c r="I141" s="17" t="s">
        <v>18</v>
      </c>
      <c r="J141" s="18"/>
      <c r="K141" s="18"/>
      <c r="L141" s="18" t="str">
        <f>"90,0"</f>
        <v>90,0</v>
      </c>
      <c r="M141" s="18" t="str">
        <f>"66,9751"</f>
        <v>66,9751</v>
      </c>
      <c r="N141" s="28" t="s">
        <v>307</v>
      </c>
    </row>
    <row r="142" ht="12.75">
      <c r="B142" s="6" t="s">
        <v>31</v>
      </c>
    </row>
    <row r="143" spans="1:13" ht="15">
      <c r="A143" s="43" t="s">
        <v>224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4" ht="12.75">
      <c r="A144" s="15" t="s">
        <v>24</v>
      </c>
      <c r="B144" s="12" t="s">
        <v>1444</v>
      </c>
      <c r="C144" s="12" t="s">
        <v>1445</v>
      </c>
      <c r="D144" s="12" t="s">
        <v>1446</v>
      </c>
      <c r="E144" s="12" t="str">
        <f>"0,5710"</f>
        <v>0,5710</v>
      </c>
      <c r="F144" s="12" t="s">
        <v>15</v>
      </c>
      <c r="G144" s="12" t="s">
        <v>16</v>
      </c>
      <c r="H144" s="13" t="s">
        <v>146</v>
      </c>
      <c r="I144" s="14" t="s">
        <v>117</v>
      </c>
      <c r="J144" s="13" t="s">
        <v>117</v>
      </c>
      <c r="K144" s="15"/>
      <c r="L144" s="15" t="str">
        <f>"210,0"</f>
        <v>210,0</v>
      </c>
      <c r="M144" s="15" t="str">
        <f>"119,9100"</f>
        <v>119,9100</v>
      </c>
      <c r="N144" s="26" t="s">
        <v>37</v>
      </c>
    </row>
    <row r="145" spans="1:14" ht="12.75">
      <c r="A145" s="23" t="s">
        <v>38</v>
      </c>
      <c r="B145" s="20" t="s">
        <v>1447</v>
      </c>
      <c r="C145" s="20" t="s">
        <v>1448</v>
      </c>
      <c r="D145" s="20" t="s">
        <v>1449</v>
      </c>
      <c r="E145" s="20" t="str">
        <f>"0,5724"</f>
        <v>0,5724</v>
      </c>
      <c r="F145" s="20" t="s">
        <v>15</v>
      </c>
      <c r="G145" s="20" t="s">
        <v>881</v>
      </c>
      <c r="H145" s="21" t="s">
        <v>132</v>
      </c>
      <c r="I145" s="22" t="s">
        <v>124</v>
      </c>
      <c r="J145" s="22" t="s">
        <v>124</v>
      </c>
      <c r="K145" s="23"/>
      <c r="L145" s="23" t="str">
        <f>"190,0"</f>
        <v>190,0</v>
      </c>
      <c r="M145" s="23" t="str">
        <f>"108,7560"</f>
        <v>108,7560</v>
      </c>
      <c r="N145" s="27" t="s">
        <v>37</v>
      </c>
    </row>
    <row r="146" spans="1:14" ht="12.75">
      <c r="A146" s="23" t="s">
        <v>13</v>
      </c>
      <c r="B146" s="20" t="s">
        <v>1450</v>
      </c>
      <c r="C146" s="20" t="s">
        <v>1451</v>
      </c>
      <c r="D146" s="20" t="s">
        <v>1452</v>
      </c>
      <c r="E146" s="20" t="str">
        <f>"0,5781"</f>
        <v>0,5781</v>
      </c>
      <c r="F146" s="20" t="s">
        <v>15</v>
      </c>
      <c r="G146" s="20" t="s">
        <v>198</v>
      </c>
      <c r="H146" s="22" t="s">
        <v>102</v>
      </c>
      <c r="I146" s="22" t="s">
        <v>123</v>
      </c>
      <c r="J146" s="22" t="s">
        <v>123</v>
      </c>
      <c r="K146" s="23"/>
      <c r="L146" s="23" t="s">
        <v>23</v>
      </c>
      <c r="M146" s="23" t="str">
        <f>"0,0000"</f>
        <v>0,0000</v>
      </c>
      <c r="N146" s="27" t="s">
        <v>37</v>
      </c>
    </row>
    <row r="147" spans="1:14" ht="12.75">
      <c r="A147" s="23" t="s">
        <v>24</v>
      </c>
      <c r="B147" s="20" t="s">
        <v>1453</v>
      </c>
      <c r="C147" s="20" t="s">
        <v>1454</v>
      </c>
      <c r="D147" s="20" t="s">
        <v>1455</v>
      </c>
      <c r="E147" s="20" t="str">
        <f>"0,5788"</f>
        <v>0,5788</v>
      </c>
      <c r="F147" s="20" t="s">
        <v>15</v>
      </c>
      <c r="G147" s="27" t="s">
        <v>795</v>
      </c>
      <c r="H147" s="21" t="s">
        <v>135</v>
      </c>
      <c r="I147" s="21" t="s">
        <v>156</v>
      </c>
      <c r="J147" s="22" t="s">
        <v>127</v>
      </c>
      <c r="K147" s="23"/>
      <c r="L147" s="23" t="str">
        <f>"245,0"</f>
        <v>245,0</v>
      </c>
      <c r="M147" s="23" t="str">
        <f>"141,8060"</f>
        <v>141,8060</v>
      </c>
      <c r="N147" s="27" t="s">
        <v>37</v>
      </c>
    </row>
    <row r="148" spans="1:14" ht="12.75">
      <c r="A148" s="23" t="s">
        <v>38</v>
      </c>
      <c r="B148" s="20" t="s">
        <v>1456</v>
      </c>
      <c r="C148" s="20" t="s">
        <v>1457</v>
      </c>
      <c r="D148" s="20" t="s">
        <v>1458</v>
      </c>
      <c r="E148" s="20" t="str">
        <f>"0,5740"</f>
        <v>0,5740</v>
      </c>
      <c r="F148" s="20" t="s">
        <v>15</v>
      </c>
      <c r="G148" s="20" t="s">
        <v>16</v>
      </c>
      <c r="H148" s="21" t="s">
        <v>118</v>
      </c>
      <c r="I148" s="21" t="s">
        <v>109</v>
      </c>
      <c r="J148" s="21" t="s">
        <v>120</v>
      </c>
      <c r="K148" s="23"/>
      <c r="L148" s="23" t="str">
        <f>"230,0"</f>
        <v>230,0</v>
      </c>
      <c r="M148" s="23" t="str">
        <f>"132,0200"</f>
        <v>132,0200</v>
      </c>
      <c r="N148" s="27" t="s">
        <v>37</v>
      </c>
    </row>
    <row r="149" spans="1:14" ht="12.75">
      <c r="A149" s="23" t="s">
        <v>72</v>
      </c>
      <c r="B149" s="20" t="s">
        <v>1459</v>
      </c>
      <c r="C149" s="20" t="s">
        <v>1460</v>
      </c>
      <c r="D149" s="20" t="s">
        <v>1461</v>
      </c>
      <c r="E149" s="20" t="str">
        <f>"0,5721"</f>
        <v>0,5721</v>
      </c>
      <c r="F149" s="20" t="s">
        <v>15</v>
      </c>
      <c r="G149" s="20" t="s">
        <v>88</v>
      </c>
      <c r="H149" s="21" t="s">
        <v>148</v>
      </c>
      <c r="I149" s="21" t="s">
        <v>120</v>
      </c>
      <c r="J149" s="22" t="s">
        <v>135</v>
      </c>
      <c r="K149" s="23"/>
      <c r="L149" s="23" t="str">
        <f>"230,0"</f>
        <v>230,0</v>
      </c>
      <c r="M149" s="23" t="str">
        <f>"131,5830"</f>
        <v>131,5830</v>
      </c>
      <c r="N149" s="27" t="s">
        <v>37</v>
      </c>
    </row>
    <row r="150" spans="1:14" ht="12.75">
      <c r="A150" s="23" t="s">
        <v>74</v>
      </c>
      <c r="B150" s="20" t="s">
        <v>1462</v>
      </c>
      <c r="C150" s="20" t="s">
        <v>1463</v>
      </c>
      <c r="D150" s="20" t="s">
        <v>1464</v>
      </c>
      <c r="E150" s="20" t="str">
        <f>"0,5808"</f>
        <v>0,5808</v>
      </c>
      <c r="F150" s="20" t="s">
        <v>15</v>
      </c>
      <c r="G150" s="20" t="s">
        <v>16</v>
      </c>
      <c r="H150" s="21" t="s">
        <v>124</v>
      </c>
      <c r="I150" s="21" t="s">
        <v>146</v>
      </c>
      <c r="J150" s="22" t="s">
        <v>287</v>
      </c>
      <c r="K150" s="23"/>
      <c r="L150" s="23" t="str">
        <f>"205,0"</f>
        <v>205,0</v>
      </c>
      <c r="M150" s="23" t="str">
        <f>"119,0640"</f>
        <v>119,0640</v>
      </c>
      <c r="N150" s="27" t="s">
        <v>37</v>
      </c>
    </row>
    <row r="151" spans="1:14" ht="12.75">
      <c r="A151" s="23" t="s">
        <v>85</v>
      </c>
      <c r="B151" s="20" t="s">
        <v>1465</v>
      </c>
      <c r="C151" s="20" t="s">
        <v>1466</v>
      </c>
      <c r="D151" s="20" t="s">
        <v>1467</v>
      </c>
      <c r="E151" s="20" t="str">
        <f>"0,5847"</f>
        <v>0,5847</v>
      </c>
      <c r="F151" s="20" t="s">
        <v>15</v>
      </c>
      <c r="G151" s="20" t="s">
        <v>98</v>
      </c>
      <c r="H151" s="21" t="s">
        <v>125</v>
      </c>
      <c r="I151" s="22" t="s">
        <v>146</v>
      </c>
      <c r="J151" s="22" t="s">
        <v>146</v>
      </c>
      <c r="K151" s="23"/>
      <c r="L151" s="23" t="str">
        <f>"202,5"</f>
        <v>202,5</v>
      </c>
      <c r="M151" s="23" t="str">
        <f>"118,4017"</f>
        <v>118,4017</v>
      </c>
      <c r="N151" s="27" t="s">
        <v>1468</v>
      </c>
    </row>
    <row r="152" spans="1:14" ht="12.75">
      <c r="A152" s="23" t="s">
        <v>136</v>
      </c>
      <c r="B152" s="20" t="s">
        <v>1469</v>
      </c>
      <c r="C152" s="20" t="s">
        <v>1470</v>
      </c>
      <c r="D152" s="20" t="s">
        <v>1471</v>
      </c>
      <c r="E152" s="20" t="str">
        <f>"0,5816"</f>
        <v>0,5816</v>
      </c>
      <c r="F152" s="20" t="s">
        <v>15</v>
      </c>
      <c r="G152" s="20" t="s">
        <v>276</v>
      </c>
      <c r="H152" s="21" t="s">
        <v>222</v>
      </c>
      <c r="I152" s="21" t="s">
        <v>138</v>
      </c>
      <c r="J152" s="22" t="s">
        <v>125</v>
      </c>
      <c r="K152" s="23"/>
      <c r="L152" s="23" t="str">
        <f>"192,5"</f>
        <v>192,5</v>
      </c>
      <c r="M152" s="23" t="str">
        <f>"111,9580"</f>
        <v>111,9580</v>
      </c>
      <c r="N152" s="27" t="s">
        <v>277</v>
      </c>
    </row>
    <row r="153" spans="1:14" ht="12.75">
      <c r="A153" s="23" t="s">
        <v>139</v>
      </c>
      <c r="B153" s="20" t="s">
        <v>1472</v>
      </c>
      <c r="C153" s="20" t="s">
        <v>1473</v>
      </c>
      <c r="D153" s="20" t="s">
        <v>1474</v>
      </c>
      <c r="E153" s="20" t="str">
        <f>"0,5766"</f>
        <v>0,5766</v>
      </c>
      <c r="F153" s="27" t="s">
        <v>285</v>
      </c>
      <c r="G153" s="20" t="s">
        <v>16</v>
      </c>
      <c r="H153" s="21" t="s">
        <v>131</v>
      </c>
      <c r="I153" s="21" t="s">
        <v>132</v>
      </c>
      <c r="J153" s="22" t="s">
        <v>124</v>
      </c>
      <c r="K153" s="23"/>
      <c r="L153" s="23" t="str">
        <f>"190,0"</f>
        <v>190,0</v>
      </c>
      <c r="M153" s="23" t="str">
        <f>"109,5540"</f>
        <v>109,5540</v>
      </c>
      <c r="N153" s="27" t="s">
        <v>37</v>
      </c>
    </row>
    <row r="154" spans="1:14" ht="12.75">
      <c r="A154" s="23" t="s">
        <v>142</v>
      </c>
      <c r="B154" s="20" t="s">
        <v>1475</v>
      </c>
      <c r="C154" s="20" t="s">
        <v>1476</v>
      </c>
      <c r="D154" s="20" t="s">
        <v>1477</v>
      </c>
      <c r="E154" s="20" t="str">
        <f>"0,5804"</f>
        <v>0,5804</v>
      </c>
      <c r="F154" s="20" t="s">
        <v>15</v>
      </c>
      <c r="G154" s="27" t="s">
        <v>1478</v>
      </c>
      <c r="H154" s="21" t="s">
        <v>123</v>
      </c>
      <c r="I154" s="22" t="s">
        <v>124</v>
      </c>
      <c r="J154" s="22" t="s">
        <v>124</v>
      </c>
      <c r="K154" s="23"/>
      <c r="L154" s="23" t="str">
        <f>"185,0"</f>
        <v>185,0</v>
      </c>
      <c r="M154" s="23" t="str">
        <f>"107,3740"</f>
        <v>107,3740</v>
      </c>
      <c r="N154" s="27" t="s">
        <v>37</v>
      </c>
    </row>
    <row r="155" spans="1:14" ht="12.75">
      <c r="A155" s="23" t="s">
        <v>427</v>
      </c>
      <c r="B155" s="20" t="s">
        <v>1479</v>
      </c>
      <c r="C155" s="20" t="s">
        <v>1480</v>
      </c>
      <c r="D155" s="20" t="s">
        <v>1481</v>
      </c>
      <c r="E155" s="20" t="str">
        <f>"0,5746"</f>
        <v>0,5746</v>
      </c>
      <c r="F155" s="20" t="s">
        <v>15</v>
      </c>
      <c r="G155" s="27" t="s">
        <v>98</v>
      </c>
      <c r="H155" s="22" t="s">
        <v>105</v>
      </c>
      <c r="I155" s="21" t="s">
        <v>102</v>
      </c>
      <c r="J155" s="21" t="s">
        <v>131</v>
      </c>
      <c r="K155" s="23"/>
      <c r="L155" s="23" t="str">
        <f>"180,0"</f>
        <v>180,0</v>
      </c>
      <c r="M155" s="23" t="str">
        <f>"103,4280"</f>
        <v>103,4280</v>
      </c>
      <c r="N155" s="27" t="s">
        <v>1482</v>
      </c>
    </row>
    <row r="156" spans="1:14" ht="12.75">
      <c r="A156" s="23" t="s">
        <v>731</v>
      </c>
      <c r="B156" s="20" t="s">
        <v>1483</v>
      </c>
      <c r="C156" s="20" t="s">
        <v>1484</v>
      </c>
      <c r="D156" s="20" t="s">
        <v>1485</v>
      </c>
      <c r="E156" s="20" t="str">
        <f>"0,5756"</f>
        <v>0,5756</v>
      </c>
      <c r="F156" s="20" t="s">
        <v>15</v>
      </c>
      <c r="G156" s="20" t="s">
        <v>16</v>
      </c>
      <c r="H156" s="21" t="s">
        <v>102</v>
      </c>
      <c r="I156" s="22" t="s">
        <v>131</v>
      </c>
      <c r="J156" s="22" t="s">
        <v>125</v>
      </c>
      <c r="K156" s="23"/>
      <c r="L156" s="23" t="str">
        <f>"175,0"</f>
        <v>175,0</v>
      </c>
      <c r="M156" s="23" t="str">
        <f>"100,7300"</f>
        <v>100,7300</v>
      </c>
      <c r="N156" s="27" t="s">
        <v>37</v>
      </c>
    </row>
    <row r="157" spans="1:14" ht="12.75">
      <c r="A157" s="23" t="s">
        <v>13</v>
      </c>
      <c r="B157" s="20" t="s">
        <v>1486</v>
      </c>
      <c r="C157" s="20" t="s">
        <v>1487</v>
      </c>
      <c r="D157" s="20" t="s">
        <v>1488</v>
      </c>
      <c r="E157" s="20" t="str">
        <f>"0,5701"</f>
        <v>0,5701</v>
      </c>
      <c r="F157" s="20" t="s">
        <v>15</v>
      </c>
      <c r="G157" s="20" t="s">
        <v>1489</v>
      </c>
      <c r="H157" s="22" t="s">
        <v>112</v>
      </c>
      <c r="I157" s="22" t="s">
        <v>112</v>
      </c>
      <c r="J157" s="23"/>
      <c r="K157" s="23"/>
      <c r="L157" s="23" t="s">
        <v>23</v>
      </c>
      <c r="M157" s="23" t="str">
        <f>"0,0000"</f>
        <v>0,0000</v>
      </c>
      <c r="N157" s="27" t="s">
        <v>1490</v>
      </c>
    </row>
    <row r="158" spans="1:14" ht="12.75">
      <c r="A158" s="23" t="s">
        <v>24</v>
      </c>
      <c r="B158" s="20" t="s">
        <v>1456</v>
      </c>
      <c r="C158" s="20" t="s">
        <v>1491</v>
      </c>
      <c r="D158" s="20" t="s">
        <v>1458</v>
      </c>
      <c r="E158" s="20" t="str">
        <f>"0,5740"</f>
        <v>0,5740</v>
      </c>
      <c r="F158" s="20" t="s">
        <v>15</v>
      </c>
      <c r="G158" s="20" t="s">
        <v>16</v>
      </c>
      <c r="H158" s="21" t="s">
        <v>118</v>
      </c>
      <c r="I158" s="21" t="s">
        <v>109</v>
      </c>
      <c r="J158" s="21" t="s">
        <v>120</v>
      </c>
      <c r="K158" s="23"/>
      <c r="L158" s="23" t="str">
        <f>"230,0"</f>
        <v>230,0</v>
      </c>
      <c r="M158" s="23" t="str">
        <f>"137,8289"</f>
        <v>137,8289</v>
      </c>
      <c r="N158" s="27" t="s">
        <v>37</v>
      </c>
    </row>
    <row r="159" spans="1:14" ht="12.75">
      <c r="A159" s="23" t="s">
        <v>38</v>
      </c>
      <c r="B159" s="20" t="s">
        <v>1492</v>
      </c>
      <c r="C159" s="20" t="s">
        <v>1493</v>
      </c>
      <c r="D159" s="20" t="s">
        <v>1494</v>
      </c>
      <c r="E159" s="20" t="str">
        <f>"0,5712"</f>
        <v>0,5712</v>
      </c>
      <c r="F159" s="20" t="s">
        <v>15</v>
      </c>
      <c r="G159" s="20" t="s">
        <v>1211</v>
      </c>
      <c r="H159" s="21" t="s">
        <v>118</v>
      </c>
      <c r="I159" s="21" t="s">
        <v>120</v>
      </c>
      <c r="J159" s="22" t="s">
        <v>135</v>
      </c>
      <c r="K159" s="23"/>
      <c r="L159" s="23" t="str">
        <f>"230,0"</f>
        <v>230,0</v>
      </c>
      <c r="M159" s="23" t="str">
        <f>"143,9881"</f>
        <v>143,9881</v>
      </c>
      <c r="N159" s="27" t="s">
        <v>37</v>
      </c>
    </row>
    <row r="160" spans="1:14" ht="12.75">
      <c r="A160" s="23" t="s">
        <v>24</v>
      </c>
      <c r="B160" s="20" t="s">
        <v>490</v>
      </c>
      <c r="C160" s="20" t="s">
        <v>491</v>
      </c>
      <c r="D160" s="20" t="s">
        <v>492</v>
      </c>
      <c r="E160" s="20" t="str">
        <f>"0,5775"</f>
        <v>0,5775</v>
      </c>
      <c r="F160" s="20" t="s">
        <v>15</v>
      </c>
      <c r="G160" s="20" t="s">
        <v>493</v>
      </c>
      <c r="H160" s="21" t="s">
        <v>101</v>
      </c>
      <c r="I160" s="21" t="s">
        <v>102</v>
      </c>
      <c r="J160" s="22" t="s">
        <v>131</v>
      </c>
      <c r="K160" s="23"/>
      <c r="L160" s="23" t="str">
        <f>"175,0"</f>
        <v>175,0</v>
      </c>
      <c r="M160" s="23" t="str">
        <f>"119,9612"</f>
        <v>119,9612</v>
      </c>
      <c r="N160" s="27" t="s">
        <v>494</v>
      </c>
    </row>
    <row r="161" spans="1:14" ht="12.75">
      <c r="A161" s="18" t="s">
        <v>24</v>
      </c>
      <c r="B161" s="16" t="s">
        <v>1495</v>
      </c>
      <c r="C161" s="16" t="s">
        <v>1496</v>
      </c>
      <c r="D161" s="16" t="s">
        <v>1477</v>
      </c>
      <c r="E161" s="16" t="str">
        <f>"0,5804"</f>
        <v>0,5804</v>
      </c>
      <c r="F161" s="16" t="s">
        <v>15</v>
      </c>
      <c r="G161" s="16" t="s">
        <v>408</v>
      </c>
      <c r="H161" s="19" t="s">
        <v>58</v>
      </c>
      <c r="I161" s="17" t="s">
        <v>58</v>
      </c>
      <c r="J161" s="17" t="s">
        <v>253</v>
      </c>
      <c r="K161" s="18"/>
      <c r="L161" s="18" t="str">
        <f>"147,5"</f>
        <v>147,5</v>
      </c>
      <c r="M161" s="18" t="str">
        <f>"125,8452"</f>
        <v>125,8452</v>
      </c>
      <c r="N161" s="28" t="s">
        <v>37</v>
      </c>
    </row>
    <row r="162" ht="12.75">
      <c r="B162" s="6" t="s">
        <v>31</v>
      </c>
    </row>
    <row r="163" spans="1:13" ht="15">
      <c r="A163" s="43" t="s">
        <v>231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4" ht="12.75">
      <c r="A164" s="15" t="s">
        <v>24</v>
      </c>
      <c r="B164" s="12" t="s">
        <v>1497</v>
      </c>
      <c r="C164" s="12" t="s">
        <v>1498</v>
      </c>
      <c r="D164" s="12" t="s">
        <v>1499</v>
      </c>
      <c r="E164" s="12" t="str">
        <f>"0,5648"</f>
        <v>0,5648</v>
      </c>
      <c r="F164" s="26" t="s">
        <v>15</v>
      </c>
      <c r="G164" s="12" t="s">
        <v>181</v>
      </c>
      <c r="H164" s="13" t="s">
        <v>113</v>
      </c>
      <c r="I164" s="13" t="s">
        <v>186</v>
      </c>
      <c r="J164" s="13" t="s">
        <v>128</v>
      </c>
      <c r="K164" s="15"/>
      <c r="L164" s="15" t="str">
        <f>"270,0"</f>
        <v>270,0</v>
      </c>
      <c r="M164" s="15" t="str">
        <f>"152,4960"</f>
        <v>152,4960</v>
      </c>
      <c r="N164" s="26" t="s">
        <v>180</v>
      </c>
    </row>
    <row r="165" spans="1:14" ht="12.75">
      <c r="A165" s="23" t="s">
        <v>38</v>
      </c>
      <c r="B165" s="20" t="s">
        <v>1500</v>
      </c>
      <c r="C165" s="20" t="s">
        <v>1501</v>
      </c>
      <c r="D165" s="20" t="s">
        <v>1502</v>
      </c>
      <c r="E165" s="20" t="str">
        <f>"0,5613"</f>
        <v>0,5613</v>
      </c>
      <c r="F165" s="27" t="s">
        <v>15</v>
      </c>
      <c r="G165" s="20" t="s">
        <v>16</v>
      </c>
      <c r="H165" s="21" t="s">
        <v>128</v>
      </c>
      <c r="I165" s="22" t="s">
        <v>272</v>
      </c>
      <c r="J165" s="22" t="s">
        <v>272</v>
      </c>
      <c r="K165" s="23"/>
      <c r="L165" s="23" t="str">
        <f>"270,0"</f>
        <v>270,0</v>
      </c>
      <c r="M165" s="23" t="str">
        <f>"151,5510"</f>
        <v>151,5510</v>
      </c>
      <c r="N165" s="27" t="s">
        <v>439</v>
      </c>
    </row>
    <row r="166" spans="1:14" ht="12.75">
      <c r="A166" s="23" t="s">
        <v>72</v>
      </c>
      <c r="B166" s="20" t="s">
        <v>1503</v>
      </c>
      <c r="C166" s="20" t="s">
        <v>1504</v>
      </c>
      <c r="D166" s="20" t="s">
        <v>1505</v>
      </c>
      <c r="E166" s="20" t="str">
        <f>"0,5688"</f>
        <v>0,5688</v>
      </c>
      <c r="F166" s="20" t="s">
        <v>15</v>
      </c>
      <c r="G166" s="20" t="s">
        <v>1506</v>
      </c>
      <c r="H166" s="21" t="s">
        <v>113</v>
      </c>
      <c r="I166" s="21" t="s">
        <v>186</v>
      </c>
      <c r="J166" s="21" t="s">
        <v>192</v>
      </c>
      <c r="K166" s="23"/>
      <c r="L166" s="23" t="str">
        <f>"265,0"</f>
        <v>265,0</v>
      </c>
      <c r="M166" s="23" t="str">
        <f>"150,7320"</f>
        <v>150,7320</v>
      </c>
      <c r="N166" s="27" t="s">
        <v>37</v>
      </c>
    </row>
    <row r="167" spans="1:14" ht="12.75">
      <c r="A167" s="23" t="s">
        <v>74</v>
      </c>
      <c r="B167" s="20" t="s">
        <v>1507</v>
      </c>
      <c r="C167" s="20" t="s">
        <v>1508</v>
      </c>
      <c r="D167" s="20" t="s">
        <v>1509</v>
      </c>
      <c r="E167" s="20" t="str">
        <f>"0,5618"</f>
        <v>0,5618</v>
      </c>
      <c r="F167" s="20" t="s">
        <v>15</v>
      </c>
      <c r="G167" s="20" t="s">
        <v>881</v>
      </c>
      <c r="H167" s="21" t="s">
        <v>132</v>
      </c>
      <c r="I167" s="22" t="s">
        <v>116</v>
      </c>
      <c r="J167" s="22" t="s">
        <v>117</v>
      </c>
      <c r="K167" s="23"/>
      <c r="L167" s="23" t="str">
        <f>"190,0"</f>
        <v>190,0</v>
      </c>
      <c r="M167" s="23" t="str">
        <f>"106,7420"</f>
        <v>106,7420</v>
      </c>
      <c r="N167" s="27" t="s">
        <v>37</v>
      </c>
    </row>
    <row r="168" spans="1:14" ht="12.75">
      <c r="A168" s="23" t="s">
        <v>24</v>
      </c>
      <c r="B168" s="20" t="s">
        <v>1510</v>
      </c>
      <c r="C168" s="20" t="s">
        <v>1511</v>
      </c>
      <c r="D168" s="20" t="s">
        <v>1512</v>
      </c>
      <c r="E168" s="20" t="str">
        <f>"0,5631"</f>
        <v>0,5631</v>
      </c>
      <c r="F168" s="20" t="s">
        <v>15</v>
      </c>
      <c r="G168" s="20" t="s">
        <v>16</v>
      </c>
      <c r="H168" s="21" t="s">
        <v>118</v>
      </c>
      <c r="I168" s="22" t="s">
        <v>148</v>
      </c>
      <c r="J168" s="22" t="s">
        <v>148</v>
      </c>
      <c r="K168" s="23"/>
      <c r="L168" s="23" t="str">
        <f>"215,0"</f>
        <v>215,0</v>
      </c>
      <c r="M168" s="23" t="str">
        <f>"121,0665"</f>
        <v>121,0665</v>
      </c>
      <c r="N168" s="27" t="s">
        <v>1513</v>
      </c>
    </row>
    <row r="169" spans="1:14" ht="12.75">
      <c r="A169" s="18" t="s">
        <v>38</v>
      </c>
      <c r="B169" s="16" t="s">
        <v>1514</v>
      </c>
      <c r="C169" s="16" t="s">
        <v>1515</v>
      </c>
      <c r="D169" s="16" t="s">
        <v>1499</v>
      </c>
      <c r="E169" s="16" t="str">
        <f>"0,5648"</f>
        <v>0,5648</v>
      </c>
      <c r="F169" s="16" t="s">
        <v>15</v>
      </c>
      <c r="G169" s="16" t="s">
        <v>133</v>
      </c>
      <c r="H169" s="17" t="s">
        <v>80</v>
      </c>
      <c r="I169" s="19" t="s">
        <v>104</v>
      </c>
      <c r="J169" s="19" t="s">
        <v>104</v>
      </c>
      <c r="K169" s="18"/>
      <c r="L169" s="18" t="str">
        <f>"150,0"</f>
        <v>150,0</v>
      </c>
      <c r="M169" s="18" t="str">
        <f>"95,9030"</f>
        <v>95,9030</v>
      </c>
      <c r="N169" s="28" t="s">
        <v>37</v>
      </c>
    </row>
    <row r="170" ht="12.75">
      <c r="B170" s="6" t="s">
        <v>31</v>
      </c>
    </row>
    <row r="171" spans="1:13" ht="15">
      <c r="A171" s="43" t="s">
        <v>232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4" ht="12.75">
      <c r="A172" s="15" t="s">
        <v>24</v>
      </c>
      <c r="B172" s="12" t="s">
        <v>1516</v>
      </c>
      <c r="C172" s="12" t="s">
        <v>1517</v>
      </c>
      <c r="D172" s="12" t="s">
        <v>1518</v>
      </c>
      <c r="E172" s="12" t="str">
        <f>"0,5558"</f>
        <v>0,5558</v>
      </c>
      <c r="F172" s="12" t="s">
        <v>15</v>
      </c>
      <c r="G172" s="12" t="s">
        <v>1519</v>
      </c>
      <c r="H172" s="13" t="s">
        <v>123</v>
      </c>
      <c r="I172" s="13" t="s">
        <v>124</v>
      </c>
      <c r="J172" s="14" t="s">
        <v>116</v>
      </c>
      <c r="K172" s="15"/>
      <c r="L172" s="15" t="str">
        <f>"195,0"</f>
        <v>195,0</v>
      </c>
      <c r="M172" s="15" t="str">
        <f>"108,3810"</f>
        <v>108,3810</v>
      </c>
      <c r="N172" s="26" t="s">
        <v>37</v>
      </c>
    </row>
    <row r="173" spans="1:14" ht="12.75">
      <c r="A173" s="18" t="s">
        <v>24</v>
      </c>
      <c r="B173" s="16" t="s">
        <v>1520</v>
      </c>
      <c r="C173" s="16" t="s">
        <v>1521</v>
      </c>
      <c r="D173" s="16" t="s">
        <v>1522</v>
      </c>
      <c r="E173" s="16" t="str">
        <f>"0,5356"</f>
        <v>0,5356</v>
      </c>
      <c r="F173" s="16" t="s">
        <v>15</v>
      </c>
      <c r="G173" s="16" t="s">
        <v>596</v>
      </c>
      <c r="H173" s="17" t="s">
        <v>156</v>
      </c>
      <c r="I173" s="17" t="s">
        <v>127</v>
      </c>
      <c r="J173" s="17" t="s">
        <v>192</v>
      </c>
      <c r="K173" s="18"/>
      <c r="L173" s="18" t="str">
        <f>"265,0"</f>
        <v>265,0</v>
      </c>
      <c r="M173" s="18" t="str">
        <f>"141,9340"</f>
        <v>141,9340</v>
      </c>
      <c r="N173" s="28" t="s">
        <v>37</v>
      </c>
    </row>
    <row r="174" ht="12.75">
      <c r="B174" s="6" t="s">
        <v>31</v>
      </c>
    </row>
    <row r="175" ht="12.75">
      <c r="B175" s="6" t="s">
        <v>31</v>
      </c>
    </row>
    <row r="176" spans="2:4" ht="18">
      <c r="B176" s="6" t="s">
        <v>31</v>
      </c>
      <c r="C176" s="24" t="s">
        <v>236</v>
      </c>
      <c r="D176" s="24"/>
    </row>
    <row r="177" spans="2:4" ht="15">
      <c r="B177" s="6" t="s">
        <v>31</v>
      </c>
      <c r="C177" s="41" t="s">
        <v>242</v>
      </c>
      <c r="D177" s="41"/>
    </row>
    <row r="178" spans="2:4" ht="14.25">
      <c r="B178" s="6" t="s">
        <v>31</v>
      </c>
      <c r="C178" s="25"/>
      <c r="D178" s="25" t="s">
        <v>245</v>
      </c>
    </row>
    <row r="179" spans="2:7" ht="15">
      <c r="B179" s="6" t="s">
        <v>31</v>
      </c>
      <c r="C179" s="5" t="s">
        <v>1</v>
      </c>
      <c r="D179" s="5" t="s">
        <v>239</v>
      </c>
      <c r="E179" s="5" t="s">
        <v>240</v>
      </c>
      <c r="F179" s="5" t="s">
        <v>8</v>
      </c>
      <c r="G179" s="5" t="s">
        <v>4</v>
      </c>
    </row>
    <row r="180" spans="2:7" ht="12.75">
      <c r="B180" s="6" t="s">
        <v>31</v>
      </c>
      <c r="C180" s="6" t="s">
        <v>1298</v>
      </c>
      <c r="D180" s="6" t="s">
        <v>245</v>
      </c>
      <c r="E180" s="7" t="s">
        <v>61</v>
      </c>
      <c r="F180" s="7" t="s">
        <v>211</v>
      </c>
      <c r="G180" s="7" t="s">
        <v>1523</v>
      </c>
    </row>
    <row r="181" spans="2:7" ht="12.75">
      <c r="B181" s="6" t="s">
        <v>31</v>
      </c>
      <c r="C181" s="6" t="s">
        <v>1258</v>
      </c>
      <c r="D181" s="6" t="s">
        <v>245</v>
      </c>
      <c r="E181" s="7" t="s">
        <v>18</v>
      </c>
      <c r="F181" s="7" t="s">
        <v>116</v>
      </c>
      <c r="G181" s="7" t="s">
        <v>1524</v>
      </c>
    </row>
    <row r="182" spans="2:7" ht="12.75">
      <c r="B182" s="6" t="s">
        <v>31</v>
      </c>
      <c r="C182" s="6" t="s">
        <v>1444</v>
      </c>
      <c r="D182" s="6" t="s">
        <v>245</v>
      </c>
      <c r="E182" s="7" t="s">
        <v>82</v>
      </c>
      <c r="F182" s="7" t="s">
        <v>117</v>
      </c>
      <c r="G182" s="7" t="s">
        <v>1525</v>
      </c>
    </row>
    <row r="183" ht="12.75">
      <c r="B183" s="6" t="s">
        <v>31</v>
      </c>
    </row>
    <row r="184" spans="2:4" ht="14.25">
      <c r="B184" s="6" t="s">
        <v>31</v>
      </c>
      <c r="C184" s="25"/>
      <c r="D184" s="25" t="s">
        <v>238</v>
      </c>
    </row>
    <row r="185" spans="2:7" ht="15">
      <c r="B185" s="6" t="s">
        <v>31</v>
      </c>
      <c r="C185" s="5" t="s">
        <v>1</v>
      </c>
      <c r="D185" s="5" t="s">
        <v>239</v>
      </c>
      <c r="E185" s="5" t="s">
        <v>240</v>
      </c>
      <c r="F185" s="5" t="s">
        <v>8</v>
      </c>
      <c r="G185" s="5" t="s">
        <v>4</v>
      </c>
    </row>
    <row r="186" spans="2:7" ht="12.75">
      <c r="B186" s="6" t="s">
        <v>31</v>
      </c>
      <c r="C186" s="6" t="s">
        <v>1270</v>
      </c>
      <c r="D186" s="6" t="s">
        <v>238</v>
      </c>
      <c r="E186" s="7" t="s">
        <v>18</v>
      </c>
      <c r="F186" s="7" t="s">
        <v>127</v>
      </c>
      <c r="G186" s="7" t="s">
        <v>1526</v>
      </c>
    </row>
    <row r="187" spans="2:7" ht="12.75">
      <c r="B187" s="6" t="s">
        <v>31</v>
      </c>
      <c r="C187" s="6" t="s">
        <v>1497</v>
      </c>
      <c r="D187" s="6" t="s">
        <v>238</v>
      </c>
      <c r="E187" s="7" t="s">
        <v>58</v>
      </c>
      <c r="F187" s="7" t="s">
        <v>128</v>
      </c>
      <c r="G187" s="7" t="s">
        <v>1527</v>
      </c>
    </row>
    <row r="188" spans="2:7" ht="12.75">
      <c r="B188" s="6" t="s">
        <v>31</v>
      </c>
      <c r="C188" s="6" t="s">
        <v>1500</v>
      </c>
      <c r="D188" s="6" t="s">
        <v>238</v>
      </c>
      <c r="E188" s="7" t="s">
        <v>58</v>
      </c>
      <c r="F188" s="7" t="s">
        <v>128</v>
      </c>
      <c r="G188" s="7" t="s">
        <v>1528</v>
      </c>
    </row>
    <row r="189" ht="12.75">
      <c r="B189" s="6" t="s">
        <v>31</v>
      </c>
    </row>
    <row r="190" spans="2:4" ht="14.25">
      <c r="B190" s="6" t="s">
        <v>31</v>
      </c>
      <c r="C190" s="25"/>
      <c r="D190" s="25" t="s">
        <v>246</v>
      </c>
    </row>
    <row r="191" spans="2:7" ht="15">
      <c r="B191" s="6" t="s">
        <v>31</v>
      </c>
      <c r="C191" s="5" t="s">
        <v>1</v>
      </c>
      <c r="D191" s="5" t="s">
        <v>239</v>
      </c>
      <c r="E191" s="5" t="s">
        <v>240</v>
      </c>
      <c r="F191" s="5" t="s">
        <v>8</v>
      </c>
      <c r="G191" s="5" t="s">
        <v>4</v>
      </c>
    </row>
    <row r="192" spans="2:7" ht="12.75">
      <c r="B192" s="6" t="s">
        <v>31</v>
      </c>
      <c r="C192" s="6" t="s">
        <v>1317</v>
      </c>
      <c r="D192" s="6" t="s">
        <v>247</v>
      </c>
      <c r="E192" s="7" t="s">
        <v>61</v>
      </c>
      <c r="F192" s="7" t="s">
        <v>211</v>
      </c>
      <c r="G192" s="7" t="s">
        <v>1529</v>
      </c>
    </row>
    <row r="193" spans="2:7" ht="12.75">
      <c r="B193" s="6" t="s">
        <v>31</v>
      </c>
      <c r="C193" s="6" t="s">
        <v>1292</v>
      </c>
      <c r="D193" s="6" t="s">
        <v>319</v>
      </c>
      <c r="E193" s="7" t="s">
        <v>18</v>
      </c>
      <c r="F193" s="7" t="s">
        <v>64</v>
      </c>
      <c r="G193" s="7" t="s">
        <v>1530</v>
      </c>
    </row>
    <row r="194" spans="2:7" ht="12.75">
      <c r="B194" s="6" t="s">
        <v>31</v>
      </c>
      <c r="C194" s="6" t="s">
        <v>1492</v>
      </c>
      <c r="D194" s="6" t="s">
        <v>317</v>
      </c>
      <c r="E194" s="7" t="s">
        <v>82</v>
      </c>
      <c r="F194" s="7" t="s">
        <v>120</v>
      </c>
      <c r="G194" s="7" t="s">
        <v>1531</v>
      </c>
    </row>
    <row r="195" ht="12.75">
      <c r="B195" s="6" t="s">
        <v>31</v>
      </c>
    </row>
  </sheetData>
  <sheetProtection/>
  <mergeCells count="27">
    <mergeCell ref="A15:M1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  <mergeCell ref="A171:M171"/>
    <mergeCell ref="A18:M18"/>
    <mergeCell ref="A21:M21"/>
    <mergeCell ref="A24:M24"/>
    <mergeCell ref="A27:M27"/>
    <mergeCell ref="A33:M33"/>
    <mergeCell ref="A42:M42"/>
    <mergeCell ref="A58:M58"/>
    <mergeCell ref="A78:M78"/>
    <mergeCell ref="A111:M111"/>
    <mergeCell ref="A143:M143"/>
    <mergeCell ref="A163:M1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2.25390625" style="6" customWidth="1"/>
    <col min="3" max="3" width="27.00390625" style="6" bestFit="1" customWidth="1"/>
    <col min="4" max="4" width="12.375" style="6" customWidth="1"/>
    <col min="5" max="5" width="9.125" style="6" customWidth="1"/>
    <col min="6" max="6" width="27.375" style="6" customWidth="1"/>
    <col min="7" max="7" width="24.00390625" style="6" customWidth="1"/>
    <col min="8" max="10" width="5.375" style="7" bestFit="1" customWidth="1"/>
    <col min="11" max="11" width="5.00390625" style="7" bestFit="1" customWidth="1"/>
    <col min="12" max="12" width="8.75390625" style="7" customWidth="1"/>
    <col min="13" max="13" width="10.375" style="7" customWidth="1"/>
    <col min="14" max="14" width="20.375" style="6" customWidth="1"/>
    <col min="15" max="16384" width="9.125" style="3" customWidth="1"/>
  </cols>
  <sheetData>
    <row r="1" spans="1:14" s="2" customFormat="1" ht="28.5" customHeight="1">
      <c r="A1" s="46" t="s">
        <v>1532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1533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32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5" t="s">
        <v>24</v>
      </c>
      <c r="B6" s="12" t="s">
        <v>1534</v>
      </c>
      <c r="C6" s="12" t="s">
        <v>1535</v>
      </c>
      <c r="D6" s="12" t="s">
        <v>1536</v>
      </c>
      <c r="E6" s="12" t="str">
        <f>"1,2477"</f>
        <v>1,2477</v>
      </c>
      <c r="F6" s="26" t="s">
        <v>1537</v>
      </c>
      <c r="G6" s="12" t="s">
        <v>1538</v>
      </c>
      <c r="H6" s="13" t="s">
        <v>49</v>
      </c>
      <c r="I6" s="13" t="s">
        <v>56</v>
      </c>
      <c r="J6" s="14" t="s">
        <v>43</v>
      </c>
      <c r="K6" s="15"/>
      <c r="L6" s="15" t="str">
        <f>"45,0"</f>
        <v>45,0</v>
      </c>
      <c r="M6" s="15" t="str">
        <f>"56,1465"</f>
        <v>56,1465</v>
      </c>
      <c r="N6" s="26" t="s">
        <v>1539</v>
      </c>
    </row>
    <row r="7" spans="1:14" s="4" customFormat="1" ht="12.75">
      <c r="A7" s="18" t="s">
        <v>24</v>
      </c>
      <c r="B7" s="16" t="s">
        <v>1540</v>
      </c>
      <c r="C7" s="16" t="s">
        <v>1541</v>
      </c>
      <c r="D7" s="16" t="s">
        <v>1542</v>
      </c>
      <c r="E7" s="16" t="str">
        <f>"1,1961"</f>
        <v>1,1961</v>
      </c>
      <c r="F7" s="16" t="s">
        <v>15</v>
      </c>
      <c r="G7" s="16" t="s">
        <v>16</v>
      </c>
      <c r="H7" s="17" t="s">
        <v>508</v>
      </c>
      <c r="I7" s="17" t="s">
        <v>29</v>
      </c>
      <c r="J7" s="19" t="s">
        <v>51</v>
      </c>
      <c r="K7" s="18"/>
      <c r="L7" s="18" t="str">
        <f>"35,0"</f>
        <v>35,0</v>
      </c>
      <c r="M7" s="18" t="str">
        <f>"41,8635"</f>
        <v>41,8635</v>
      </c>
      <c r="N7" s="28" t="s">
        <v>1543</v>
      </c>
    </row>
    <row r="8" ht="12.75">
      <c r="B8" s="6" t="s">
        <v>31</v>
      </c>
    </row>
    <row r="9" spans="1:13" ht="15">
      <c r="A9" s="43" t="s">
        <v>78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ht="12.75">
      <c r="A10" s="10" t="s">
        <v>24</v>
      </c>
      <c r="B10" s="8" t="s">
        <v>1544</v>
      </c>
      <c r="C10" s="8" t="s">
        <v>1545</v>
      </c>
      <c r="D10" s="8" t="s">
        <v>1546</v>
      </c>
      <c r="E10" s="8" t="str">
        <f>"0,9645"</f>
        <v>0,9645</v>
      </c>
      <c r="F10" s="30" t="s">
        <v>1537</v>
      </c>
      <c r="G10" s="30" t="s">
        <v>1547</v>
      </c>
      <c r="H10" s="9" t="s">
        <v>1548</v>
      </c>
      <c r="I10" s="9" t="s">
        <v>1549</v>
      </c>
      <c r="J10" s="9" t="s">
        <v>1550</v>
      </c>
      <c r="K10" s="10"/>
      <c r="L10" s="10" t="str">
        <f>"25,0"</f>
        <v>25,0</v>
      </c>
      <c r="M10" s="10" t="str">
        <f>"24,1125"</f>
        <v>24,1125</v>
      </c>
      <c r="N10" s="30" t="s">
        <v>1539</v>
      </c>
    </row>
    <row r="11" ht="12.75">
      <c r="B11" s="6" t="s">
        <v>31</v>
      </c>
    </row>
    <row r="12" spans="1:13" ht="15">
      <c r="A12" s="43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 ht="12.75">
      <c r="A13" s="10" t="s">
        <v>24</v>
      </c>
      <c r="B13" s="8" t="s">
        <v>1033</v>
      </c>
      <c r="C13" s="8" t="s">
        <v>1551</v>
      </c>
      <c r="D13" s="8" t="s">
        <v>41</v>
      </c>
      <c r="E13" s="8" t="str">
        <f>"1,0717"</f>
        <v>1,0717</v>
      </c>
      <c r="F13" s="30" t="s">
        <v>1537</v>
      </c>
      <c r="G13" s="8" t="s">
        <v>1266</v>
      </c>
      <c r="H13" s="9" t="s">
        <v>508</v>
      </c>
      <c r="I13" s="9" t="s">
        <v>51</v>
      </c>
      <c r="J13" s="11" t="s">
        <v>20</v>
      </c>
      <c r="K13" s="10"/>
      <c r="L13" s="10" t="str">
        <f>"40,0"</f>
        <v>40,0</v>
      </c>
      <c r="M13" s="10" t="str">
        <f>"42,8680"</f>
        <v>42,8680</v>
      </c>
      <c r="N13" s="30" t="s">
        <v>1539</v>
      </c>
    </row>
    <row r="14" ht="12.75">
      <c r="B14" s="6" t="s">
        <v>31</v>
      </c>
    </row>
    <row r="15" spans="1:13" ht="15">
      <c r="A15" s="43" t="s">
        <v>47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2.75">
      <c r="A16" s="10" t="s">
        <v>24</v>
      </c>
      <c r="B16" s="8" t="s">
        <v>1552</v>
      </c>
      <c r="C16" s="8" t="s">
        <v>1553</v>
      </c>
      <c r="D16" s="8" t="s">
        <v>1554</v>
      </c>
      <c r="E16" s="8" t="str">
        <f>"1,0008"</f>
        <v>1,0008</v>
      </c>
      <c r="F16" s="30" t="s">
        <v>15</v>
      </c>
      <c r="G16" s="30" t="s">
        <v>1547</v>
      </c>
      <c r="H16" s="9" t="s">
        <v>20</v>
      </c>
      <c r="I16" s="11" t="s">
        <v>21</v>
      </c>
      <c r="J16" s="11" t="s">
        <v>21</v>
      </c>
      <c r="K16" s="10"/>
      <c r="L16" s="10" t="str">
        <f>"50,0"</f>
        <v>50,0</v>
      </c>
      <c r="M16" s="10" t="str">
        <f>"50,0400"</f>
        <v>50,0400</v>
      </c>
      <c r="N16" s="30" t="s">
        <v>1539</v>
      </c>
    </row>
    <row r="17" ht="12.75">
      <c r="B17" s="6" t="s">
        <v>31</v>
      </c>
    </row>
    <row r="18" spans="1:13" ht="15">
      <c r="A18" s="43" t="s">
        <v>50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4" ht="12.75">
      <c r="A19" s="15" t="s">
        <v>24</v>
      </c>
      <c r="B19" s="12" t="s">
        <v>1555</v>
      </c>
      <c r="C19" s="12" t="s">
        <v>1556</v>
      </c>
      <c r="D19" s="12" t="s">
        <v>472</v>
      </c>
      <c r="E19" s="12" t="str">
        <f>"0,8925"</f>
        <v>0,8925</v>
      </c>
      <c r="F19" s="26" t="s">
        <v>15</v>
      </c>
      <c r="G19" s="12" t="s">
        <v>1547</v>
      </c>
      <c r="H19" s="13" t="s">
        <v>28</v>
      </c>
      <c r="I19" s="13" t="s">
        <v>48</v>
      </c>
      <c r="J19" s="13" t="s">
        <v>42</v>
      </c>
      <c r="K19" s="15"/>
      <c r="L19" s="15" t="str">
        <f>"85,0"</f>
        <v>85,0</v>
      </c>
      <c r="M19" s="15" t="str">
        <f>"75,8667"</f>
        <v>75,8667</v>
      </c>
      <c r="N19" s="26" t="s">
        <v>1539</v>
      </c>
    </row>
    <row r="20" spans="1:14" ht="12.75">
      <c r="A20" s="18" t="s">
        <v>24</v>
      </c>
      <c r="B20" s="16" t="s">
        <v>1557</v>
      </c>
      <c r="C20" s="16" t="s">
        <v>1558</v>
      </c>
      <c r="D20" s="16" t="s">
        <v>390</v>
      </c>
      <c r="E20" s="16" t="str">
        <f>"0,9026"</f>
        <v>0,9026</v>
      </c>
      <c r="F20" s="28" t="s">
        <v>252</v>
      </c>
      <c r="G20" s="16" t="s">
        <v>359</v>
      </c>
      <c r="H20" s="17" t="s">
        <v>28</v>
      </c>
      <c r="I20" s="19" t="s">
        <v>91</v>
      </c>
      <c r="J20" s="17" t="s">
        <v>73</v>
      </c>
      <c r="K20" s="18"/>
      <c r="L20" s="18" t="str">
        <f>"75,0"</f>
        <v>75,0</v>
      </c>
      <c r="M20" s="18" t="str">
        <f>"67,6987"</f>
        <v>67,6987</v>
      </c>
      <c r="N20" s="28" t="s">
        <v>1559</v>
      </c>
    </row>
    <row r="21" ht="12.75">
      <c r="B21" s="6" t="s">
        <v>31</v>
      </c>
    </row>
    <row r="22" spans="1:13" ht="15">
      <c r="A22" s="43" t="s">
        <v>65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4" ht="12.75">
      <c r="A23" s="10" t="s">
        <v>24</v>
      </c>
      <c r="B23" s="8" t="s">
        <v>1560</v>
      </c>
      <c r="C23" s="8" t="s">
        <v>1561</v>
      </c>
      <c r="D23" s="8" t="s">
        <v>75</v>
      </c>
      <c r="E23" s="8" t="str">
        <f>"0,8467"</f>
        <v>0,8467</v>
      </c>
      <c r="F23" s="30" t="s">
        <v>1537</v>
      </c>
      <c r="G23" s="30" t="s">
        <v>1547</v>
      </c>
      <c r="H23" s="9" t="s">
        <v>1550</v>
      </c>
      <c r="I23" s="9" t="s">
        <v>508</v>
      </c>
      <c r="J23" s="11" t="s">
        <v>29</v>
      </c>
      <c r="K23" s="10"/>
      <c r="L23" s="10" t="str">
        <f>"30,0"</f>
        <v>30,0</v>
      </c>
      <c r="M23" s="10" t="str">
        <f>"25,3995"</f>
        <v>25,3995</v>
      </c>
      <c r="N23" s="30" t="s">
        <v>1539</v>
      </c>
    </row>
    <row r="24" ht="12.75">
      <c r="B24" s="6" t="s">
        <v>31</v>
      </c>
    </row>
    <row r="25" spans="1:13" ht="15">
      <c r="A25" s="43" t="s">
        <v>78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ht="12.75">
      <c r="A26" s="15" t="s">
        <v>24</v>
      </c>
      <c r="B26" s="12" t="s">
        <v>1562</v>
      </c>
      <c r="C26" s="12" t="s">
        <v>1563</v>
      </c>
      <c r="D26" s="12" t="s">
        <v>1564</v>
      </c>
      <c r="E26" s="12" t="str">
        <f>"0,7630"</f>
        <v>0,7630</v>
      </c>
      <c r="F26" s="26" t="s">
        <v>1537</v>
      </c>
      <c r="G26" s="26" t="s">
        <v>1547</v>
      </c>
      <c r="H26" s="13" t="s">
        <v>51</v>
      </c>
      <c r="I26" s="13" t="s">
        <v>56</v>
      </c>
      <c r="J26" s="14" t="s">
        <v>20</v>
      </c>
      <c r="K26" s="15"/>
      <c r="L26" s="15" t="str">
        <f>"45,0"</f>
        <v>45,0</v>
      </c>
      <c r="M26" s="15" t="str">
        <f>"34,3350"</f>
        <v>34,3350</v>
      </c>
      <c r="N26" s="26" t="s">
        <v>1539</v>
      </c>
    </row>
    <row r="27" spans="1:14" ht="12.75">
      <c r="A27" s="18" t="s">
        <v>24</v>
      </c>
      <c r="B27" s="16" t="s">
        <v>1565</v>
      </c>
      <c r="C27" s="16" t="s">
        <v>394</v>
      </c>
      <c r="D27" s="16" t="s">
        <v>1566</v>
      </c>
      <c r="E27" s="16" t="str">
        <f>"0,7818"</f>
        <v>0,7818</v>
      </c>
      <c r="F27" s="16" t="s">
        <v>15</v>
      </c>
      <c r="G27" s="16" t="s">
        <v>1567</v>
      </c>
      <c r="H27" s="17" t="s">
        <v>18</v>
      </c>
      <c r="I27" s="19" t="s">
        <v>19</v>
      </c>
      <c r="J27" s="19" t="s">
        <v>19</v>
      </c>
      <c r="K27" s="18"/>
      <c r="L27" s="18" t="str">
        <f>"90,0"</f>
        <v>90,0</v>
      </c>
      <c r="M27" s="18" t="str">
        <f>"70,3665"</f>
        <v>70,3665</v>
      </c>
      <c r="N27" s="28" t="s">
        <v>37</v>
      </c>
    </row>
    <row r="28" ht="12.75">
      <c r="B28" s="6" t="s">
        <v>31</v>
      </c>
    </row>
    <row r="29" spans="1:13" ht="15">
      <c r="A29" s="43" t="s">
        <v>89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4" s="4" customFormat="1" ht="12.75">
      <c r="A30" s="31" t="s">
        <v>24</v>
      </c>
      <c r="B30" s="12" t="s">
        <v>1568</v>
      </c>
      <c r="C30" s="32" t="s">
        <v>1569</v>
      </c>
      <c r="D30" s="12" t="s">
        <v>1570</v>
      </c>
      <c r="E30" s="32" t="str">
        <f>"0,7229"</f>
        <v>0,7229</v>
      </c>
      <c r="F30" s="26" t="s">
        <v>335</v>
      </c>
      <c r="G30" s="32" t="s">
        <v>336</v>
      </c>
      <c r="H30" s="14" t="s">
        <v>61</v>
      </c>
      <c r="I30" s="33" t="s">
        <v>61</v>
      </c>
      <c r="J30" s="13" t="s">
        <v>62</v>
      </c>
      <c r="K30" s="34"/>
      <c r="L30" s="15" t="str">
        <f>"102,5"</f>
        <v>102,5</v>
      </c>
      <c r="M30" s="34" t="str">
        <f>"74,0972"</f>
        <v>74,0972</v>
      </c>
      <c r="N30" s="26" t="s">
        <v>1571</v>
      </c>
    </row>
    <row r="31" spans="1:14" ht="12.75">
      <c r="A31" s="35" t="s">
        <v>38</v>
      </c>
      <c r="B31" s="16" t="s">
        <v>1572</v>
      </c>
      <c r="C31" s="36" t="s">
        <v>1573</v>
      </c>
      <c r="D31" s="16" t="s">
        <v>1574</v>
      </c>
      <c r="E31" s="36" t="str">
        <f>"0,7279"</f>
        <v>0,7279</v>
      </c>
      <c r="F31" s="16" t="s">
        <v>15</v>
      </c>
      <c r="G31" s="36" t="s">
        <v>860</v>
      </c>
      <c r="H31" s="19" t="s">
        <v>55</v>
      </c>
      <c r="I31" s="37" t="s">
        <v>55</v>
      </c>
      <c r="J31" s="17" t="s">
        <v>55</v>
      </c>
      <c r="K31" s="38"/>
      <c r="L31" s="18" t="str">
        <f>"92,5"</f>
        <v>92,5</v>
      </c>
      <c r="M31" s="38" t="str">
        <f>"67,3308"</f>
        <v>67,3308</v>
      </c>
      <c r="N31" s="28" t="s">
        <v>1575</v>
      </c>
    </row>
    <row r="32" ht="12.75">
      <c r="B32" s="6" t="s">
        <v>31</v>
      </c>
    </row>
    <row r="33" spans="1:13" ht="15">
      <c r="A33" s="43" t="s">
        <v>160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4" ht="12.75">
      <c r="A34" s="15" t="s">
        <v>24</v>
      </c>
      <c r="B34" s="12" t="s">
        <v>1576</v>
      </c>
      <c r="C34" s="12" t="s">
        <v>1577</v>
      </c>
      <c r="D34" s="12" t="s">
        <v>416</v>
      </c>
      <c r="E34" s="12" t="str">
        <f>"0,6188"</f>
        <v>0,6188</v>
      </c>
      <c r="F34" s="12" t="s">
        <v>476</v>
      </c>
      <c r="G34" s="12" t="s">
        <v>1578</v>
      </c>
      <c r="H34" s="14" t="s">
        <v>80</v>
      </c>
      <c r="I34" s="13" t="s">
        <v>80</v>
      </c>
      <c r="J34" s="14" t="s">
        <v>92</v>
      </c>
      <c r="K34" s="15"/>
      <c r="L34" s="15" t="str">
        <f>"150,0"</f>
        <v>150,0</v>
      </c>
      <c r="M34" s="15" t="str">
        <f>"92,8275"</f>
        <v>92,8275</v>
      </c>
      <c r="N34" s="26" t="s">
        <v>1579</v>
      </c>
    </row>
    <row r="35" spans="1:14" ht="12.75">
      <c r="A35" s="18" t="s">
        <v>38</v>
      </c>
      <c r="B35" s="16" t="s">
        <v>1580</v>
      </c>
      <c r="C35" s="16" t="s">
        <v>1581</v>
      </c>
      <c r="D35" s="16" t="s">
        <v>409</v>
      </c>
      <c r="E35" s="16" t="str">
        <f>"0,6277"</f>
        <v>0,6277</v>
      </c>
      <c r="F35" s="28" t="s">
        <v>329</v>
      </c>
      <c r="G35" s="16" t="s">
        <v>1582</v>
      </c>
      <c r="H35" s="17" t="s">
        <v>33</v>
      </c>
      <c r="I35" s="17" t="s">
        <v>34</v>
      </c>
      <c r="J35" s="19" t="s">
        <v>36</v>
      </c>
      <c r="K35" s="18"/>
      <c r="L35" s="18" t="str">
        <f>"115,0"</f>
        <v>115,0</v>
      </c>
      <c r="M35" s="18" t="str">
        <f>"72,1855"</f>
        <v>72,1855</v>
      </c>
      <c r="N35" s="28" t="s">
        <v>1583</v>
      </c>
    </row>
    <row r="36" ht="12.75">
      <c r="B36" s="6" t="s">
        <v>31</v>
      </c>
    </row>
    <row r="37" spans="1:13" ht="15">
      <c r="A37" s="43" t="s">
        <v>184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4" ht="12.75">
      <c r="A38" s="10" t="s">
        <v>24</v>
      </c>
      <c r="B38" s="8" t="s">
        <v>1584</v>
      </c>
      <c r="C38" s="8" t="s">
        <v>1585</v>
      </c>
      <c r="D38" s="8" t="s">
        <v>373</v>
      </c>
      <c r="E38" s="8" t="str">
        <f>"0,5938"</f>
        <v>0,5938</v>
      </c>
      <c r="F38" s="30" t="s">
        <v>329</v>
      </c>
      <c r="G38" s="8" t="s">
        <v>1582</v>
      </c>
      <c r="H38" s="9" t="s">
        <v>34</v>
      </c>
      <c r="I38" s="9" t="s">
        <v>36</v>
      </c>
      <c r="J38" s="11" t="s">
        <v>64</v>
      </c>
      <c r="K38" s="10"/>
      <c r="L38" s="10" t="str">
        <f>"117,5"</f>
        <v>117,5</v>
      </c>
      <c r="M38" s="10" t="str">
        <f>"69,7656"</f>
        <v>69,7656</v>
      </c>
      <c r="N38" s="30" t="s">
        <v>37</v>
      </c>
    </row>
    <row r="39" ht="12.75">
      <c r="B39" s="6" t="s">
        <v>31</v>
      </c>
    </row>
  </sheetData>
  <sheetProtection/>
  <mergeCells count="22">
    <mergeCell ref="A37:M37"/>
    <mergeCell ref="B3:B4"/>
    <mergeCell ref="A15:M15"/>
    <mergeCell ref="A18:M18"/>
    <mergeCell ref="A22:M22"/>
    <mergeCell ref="A25:M25"/>
    <mergeCell ref="A29:M29"/>
    <mergeCell ref="A33:M33"/>
    <mergeCell ref="A5:M5"/>
    <mergeCell ref="A9:M9"/>
    <mergeCell ref="A12:M12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0.875" style="6" customWidth="1"/>
    <col min="3" max="3" width="27.00390625" style="6" bestFit="1" customWidth="1"/>
    <col min="4" max="4" width="11.875" style="6" bestFit="1" customWidth="1"/>
    <col min="5" max="5" width="10.375" style="6" customWidth="1"/>
    <col min="6" max="6" width="20.875" style="6" customWidth="1"/>
    <col min="7" max="7" width="22.375" style="6" customWidth="1"/>
    <col min="8" max="10" width="5.375" style="7" bestFit="1" customWidth="1"/>
    <col min="11" max="11" width="5.00390625" style="7" bestFit="1" customWidth="1"/>
    <col min="12" max="12" width="8.375" style="7" customWidth="1"/>
    <col min="13" max="13" width="11.75390625" style="7" customWidth="1"/>
    <col min="14" max="14" width="21.125" style="6" customWidth="1"/>
    <col min="15" max="16384" width="9.125" style="3" customWidth="1"/>
  </cols>
  <sheetData>
    <row r="1" spans="1:14" s="2" customFormat="1" ht="28.5" customHeight="1">
      <c r="A1" s="46" t="s">
        <v>1609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144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0" t="s">
        <v>24</v>
      </c>
      <c r="B6" s="8" t="s">
        <v>1610</v>
      </c>
      <c r="C6" s="8" t="s">
        <v>1611</v>
      </c>
      <c r="D6" s="8" t="s">
        <v>355</v>
      </c>
      <c r="E6" s="8" t="str">
        <f>"0,6754"</f>
        <v>0,6754</v>
      </c>
      <c r="F6" s="8" t="s">
        <v>15</v>
      </c>
      <c r="G6" s="8" t="s">
        <v>16</v>
      </c>
      <c r="H6" s="9" t="s">
        <v>131</v>
      </c>
      <c r="I6" s="11" t="s">
        <v>137</v>
      </c>
      <c r="J6" s="11" t="s">
        <v>137</v>
      </c>
      <c r="K6" s="10"/>
      <c r="L6" s="10" t="str">
        <f>"180,0"</f>
        <v>180,0</v>
      </c>
      <c r="M6" s="10" t="str">
        <f>"121,5720"</f>
        <v>121,5720</v>
      </c>
      <c r="N6" s="30" t="s">
        <v>1612</v>
      </c>
    </row>
    <row r="7" spans="1:14" s="4" customFormat="1" ht="12.75">
      <c r="A7" s="7"/>
      <c r="B7" s="6" t="s">
        <v>31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  <row r="8" spans="1:13" ht="15">
      <c r="A8" s="43" t="s">
        <v>160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ht="12.75">
      <c r="A9" s="15" t="s">
        <v>24</v>
      </c>
      <c r="B9" s="12" t="s">
        <v>1613</v>
      </c>
      <c r="C9" s="12" t="s">
        <v>1614</v>
      </c>
      <c r="D9" s="12" t="s">
        <v>1615</v>
      </c>
      <c r="E9" s="12" t="str">
        <f>"0,6406"</f>
        <v>0,6406</v>
      </c>
      <c r="F9" s="12" t="s">
        <v>15</v>
      </c>
      <c r="G9" s="12" t="s">
        <v>16</v>
      </c>
      <c r="H9" s="13" t="s">
        <v>113</v>
      </c>
      <c r="I9" s="14" t="s">
        <v>192</v>
      </c>
      <c r="J9" s="14" t="s">
        <v>128</v>
      </c>
      <c r="K9" s="15"/>
      <c r="L9" s="15" t="str">
        <f>"250,0"</f>
        <v>250,0</v>
      </c>
      <c r="M9" s="15" t="str">
        <f>"160,1500"</f>
        <v>160,1500</v>
      </c>
      <c r="N9" s="26" t="s">
        <v>218</v>
      </c>
    </row>
    <row r="10" spans="1:14" ht="12.75">
      <c r="A10" s="18" t="s">
        <v>24</v>
      </c>
      <c r="B10" s="28" t="s">
        <v>1616</v>
      </c>
      <c r="C10" s="16" t="s">
        <v>1617</v>
      </c>
      <c r="D10" s="16" t="s">
        <v>172</v>
      </c>
      <c r="E10" s="16" t="str">
        <f>"0,6384"</f>
        <v>0,6384</v>
      </c>
      <c r="F10" s="16" t="s">
        <v>270</v>
      </c>
      <c r="G10" s="16" t="s">
        <v>271</v>
      </c>
      <c r="H10" s="19" t="s">
        <v>131</v>
      </c>
      <c r="I10" s="19" t="s">
        <v>131</v>
      </c>
      <c r="J10" s="17" t="s">
        <v>131</v>
      </c>
      <c r="K10" s="18"/>
      <c r="L10" s="18" t="str">
        <f>"180,0"</f>
        <v>180,0</v>
      </c>
      <c r="M10" s="18" t="str">
        <f>"116,5208"</f>
        <v>116,5208</v>
      </c>
      <c r="N10" s="28" t="s">
        <v>37</v>
      </c>
    </row>
    <row r="11" ht="12.75">
      <c r="B11" s="6" t="s">
        <v>31</v>
      </c>
    </row>
    <row r="12" spans="1:13" ht="15">
      <c r="A12" s="43" t="s">
        <v>184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 ht="12.75">
      <c r="A13" s="10" t="s">
        <v>13</v>
      </c>
      <c r="B13" s="8" t="s">
        <v>1618</v>
      </c>
      <c r="C13" s="8" t="s">
        <v>1619</v>
      </c>
      <c r="D13" s="8" t="s">
        <v>1589</v>
      </c>
      <c r="E13" s="8" t="str">
        <f>"0,6180"</f>
        <v>0,6180</v>
      </c>
      <c r="F13" s="30" t="s">
        <v>70</v>
      </c>
      <c r="G13" s="8" t="s">
        <v>1586</v>
      </c>
      <c r="H13" s="11" t="s">
        <v>131</v>
      </c>
      <c r="I13" s="11" t="s">
        <v>123</v>
      </c>
      <c r="J13" s="11" t="s">
        <v>137</v>
      </c>
      <c r="K13" s="10"/>
      <c r="L13" s="10" t="s">
        <v>23</v>
      </c>
      <c r="M13" s="10" t="str">
        <f>"0,0000"</f>
        <v>0,0000</v>
      </c>
      <c r="N13" s="30" t="s">
        <v>1587</v>
      </c>
    </row>
    <row r="14" ht="12.75">
      <c r="B14" s="6" t="s">
        <v>31</v>
      </c>
    </row>
    <row r="15" spans="1:13" ht="15">
      <c r="A15" s="43" t="s">
        <v>212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2.75">
      <c r="A16" s="10" t="s">
        <v>24</v>
      </c>
      <c r="B16" s="8" t="s">
        <v>1620</v>
      </c>
      <c r="C16" s="8" t="s">
        <v>1621</v>
      </c>
      <c r="D16" s="8" t="s">
        <v>1607</v>
      </c>
      <c r="E16" s="8" t="str">
        <f>"0,6062"</f>
        <v>0,6062</v>
      </c>
      <c r="F16" s="30" t="s">
        <v>70</v>
      </c>
      <c r="G16" s="8" t="s">
        <v>1586</v>
      </c>
      <c r="H16" s="11" t="s">
        <v>126</v>
      </c>
      <c r="I16" s="9" t="s">
        <v>152</v>
      </c>
      <c r="J16" s="11" t="s">
        <v>127</v>
      </c>
      <c r="K16" s="10"/>
      <c r="L16" s="10" t="str">
        <f>"247,5"</f>
        <v>247,5</v>
      </c>
      <c r="M16" s="10" t="str">
        <f>"150,0345"</f>
        <v>150,0345</v>
      </c>
      <c r="N16" s="30" t="s">
        <v>1587</v>
      </c>
    </row>
    <row r="17" ht="12.75">
      <c r="B17" s="6" t="s">
        <v>31</v>
      </c>
    </row>
    <row r="18" spans="1:13" ht="15">
      <c r="A18" s="43" t="s">
        <v>232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4" ht="12.75">
      <c r="A19" s="10" t="s">
        <v>24</v>
      </c>
      <c r="B19" s="8" t="s">
        <v>1591</v>
      </c>
      <c r="C19" s="8" t="s">
        <v>1622</v>
      </c>
      <c r="D19" s="8" t="s">
        <v>1592</v>
      </c>
      <c r="E19" s="8" t="str">
        <f>"0,5562"</f>
        <v>0,5562</v>
      </c>
      <c r="F19" s="30" t="s">
        <v>15</v>
      </c>
      <c r="G19" s="8" t="s">
        <v>1593</v>
      </c>
      <c r="H19" s="9" t="s">
        <v>113</v>
      </c>
      <c r="I19" s="9" t="s">
        <v>128</v>
      </c>
      <c r="J19" s="9" t="s">
        <v>405</v>
      </c>
      <c r="K19" s="10"/>
      <c r="L19" s="10" t="str">
        <f>"272,5"</f>
        <v>272,5</v>
      </c>
      <c r="M19" s="10" t="str">
        <f>"151,5645"</f>
        <v>151,5645</v>
      </c>
      <c r="N19" s="30" t="s">
        <v>37</v>
      </c>
    </row>
    <row r="20" ht="12.75">
      <c r="B20" s="6" t="s">
        <v>31</v>
      </c>
    </row>
  </sheetData>
  <sheetProtection/>
  <mergeCells count="17">
    <mergeCell ref="N3:N4"/>
    <mergeCell ref="A5:M5"/>
    <mergeCell ref="A8:M8"/>
    <mergeCell ref="A12:M12"/>
    <mergeCell ref="A1:N2"/>
    <mergeCell ref="A3:A4"/>
    <mergeCell ref="C3:C4"/>
    <mergeCell ref="D3:D4"/>
    <mergeCell ref="E3:E4"/>
    <mergeCell ref="F3:F4"/>
    <mergeCell ref="G3:G4"/>
    <mergeCell ref="H3:K3"/>
    <mergeCell ref="A15:M15"/>
    <mergeCell ref="A18:M18"/>
    <mergeCell ref="B3:B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2.00390625" style="6" customWidth="1"/>
    <col min="3" max="3" width="27.00390625" style="6" bestFit="1" customWidth="1"/>
    <col min="4" max="4" width="11.875" style="6" bestFit="1" customWidth="1"/>
    <col min="5" max="5" width="11.25390625" style="6" customWidth="1"/>
    <col min="6" max="6" width="23.75390625" style="6" customWidth="1"/>
    <col min="7" max="7" width="21.375" style="6" customWidth="1"/>
    <col min="8" max="11" width="5.375" style="7" bestFit="1" customWidth="1"/>
    <col min="12" max="12" width="8.375" style="7" customWidth="1"/>
    <col min="13" max="13" width="10.375" style="7" customWidth="1"/>
    <col min="14" max="14" width="23.25390625" style="6" customWidth="1"/>
    <col min="15" max="16384" width="9.125" style="3" customWidth="1"/>
  </cols>
  <sheetData>
    <row r="1" spans="1:14" s="2" customFormat="1" ht="28.5" customHeight="1">
      <c r="A1" s="46" t="s">
        <v>1623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32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0" t="s">
        <v>24</v>
      </c>
      <c r="B6" s="8" t="s">
        <v>1624</v>
      </c>
      <c r="C6" s="8" t="s">
        <v>1625</v>
      </c>
      <c r="D6" s="8" t="s">
        <v>512</v>
      </c>
      <c r="E6" s="8" t="str">
        <f>"1,3265"</f>
        <v>1,3265</v>
      </c>
      <c r="F6" s="8" t="s">
        <v>15</v>
      </c>
      <c r="G6" s="8" t="s">
        <v>323</v>
      </c>
      <c r="H6" s="9" t="s">
        <v>28</v>
      </c>
      <c r="I6" s="11" t="s">
        <v>48</v>
      </c>
      <c r="J6" s="11" t="s">
        <v>48</v>
      </c>
      <c r="K6" s="10"/>
      <c r="L6" s="10" t="str">
        <f>"70,0"</f>
        <v>70,0</v>
      </c>
      <c r="M6" s="10" t="str">
        <f>"92,8550"</f>
        <v>92,8550</v>
      </c>
      <c r="N6" s="30" t="s">
        <v>37</v>
      </c>
    </row>
    <row r="7" spans="1:14" s="4" customFormat="1" ht="12.75">
      <c r="A7" s="7"/>
      <c r="B7" s="6" t="s">
        <v>31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  <row r="8" spans="1:13" ht="15">
      <c r="A8" s="43" t="s">
        <v>89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ht="12.75">
      <c r="A9" s="10" t="s">
        <v>24</v>
      </c>
      <c r="B9" s="8" t="s">
        <v>1626</v>
      </c>
      <c r="C9" s="8" t="s">
        <v>1627</v>
      </c>
      <c r="D9" s="8" t="s">
        <v>391</v>
      </c>
      <c r="E9" s="8" t="str">
        <f>"0,7159"</f>
        <v>0,7159</v>
      </c>
      <c r="F9" s="30" t="s">
        <v>15</v>
      </c>
      <c r="G9" s="8" t="s">
        <v>295</v>
      </c>
      <c r="H9" s="9" t="s">
        <v>116</v>
      </c>
      <c r="I9" s="9" t="s">
        <v>255</v>
      </c>
      <c r="J9" s="11" t="s">
        <v>256</v>
      </c>
      <c r="K9" s="10"/>
      <c r="L9" s="10" t="str">
        <f>"212,5"</f>
        <v>212,5</v>
      </c>
      <c r="M9" s="10" t="str">
        <f>"152,1288"</f>
        <v>152,1288</v>
      </c>
      <c r="N9" s="30" t="s">
        <v>37</v>
      </c>
    </row>
    <row r="10" ht="12.75">
      <c r="B10" s="6" t="s">
        <v>31</v>
      </c>
    </row>
    <row r="11" spans="1:13" ht="15">
      <c r="A11" s="43" t="s">
        <v>144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12.75">
      <c r="A12" s="10" t="s">
        <v>13</v>
      </c>
      <c r="B12" s="8" t="s">
        <v>1628</v>
      </c>
      <c r="C12" s="8" t="s">
        <v>1629</v>
      </c>
      <c r="D12" s="8" t="s">
        <v>1630</v>
      </c>
      <c r="E12" s="8" t="str">
        <f>"0,6951"</f>
        <v>0,6951</v>
      </c>
      <c r="F12" s="8" t="s">
        <v>15</v>
      </c>
      <c r="G12" s="8" t="s">
        <v>1332</v>
      </c>
      <c r="H12" s="11" t="s">
        <v>131</v>
      </c>
      <c r="I12" s="11" t="s">
        <v>131</v>
      </c>
      <c r="J12" s="11" t="s">
        <v>131</v>
      </c>
      <c r="K12" s="10"/>
      <c r="L12" s="10" t="s">
        <v>23</v>
      </c>
      <c r="M12" s="10" t="str">
        <f>"0,0000"</f>
        <v>0,0000</v>
      </c>
      <c r="N12" s="30" t="s">
        <v>37</v>
      </c>
    </row>
    <row r="13" ht="12.75">
      <c r="B13" s="6" t="s">
        <v>31</v>
      </c>
    </row>
    <row r="14" spans="1:13" ht="15">
      <c r="A14" s="43" t="s">
        <v>184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4" ht="12.75">
      <c r="A15" s="10" t="s">
        <v>24</v>
      </c>
      <c r="B15" s="8" t="s">
        <v>1631</v>
      </c>
      <c r="C15" s="8" t="s">
        <v>1632</v>
      </c>
      <c r="D15" s="8" t="s">
        <v>191</v>
      </c>
      <c r="E15" s="8" t="str">
        <f>"0,6108"</f>
        <v>0,6108</v>
      </c>
      <c r="F15" s="8" t="s">
        <v>15</v>
      </c>
      <c r="G15" s="8" t="s">
        <v>1633</v>
      </c>
      <c r="H15" s="11" t="s">
        <v>156</v>
      </c>
      <c r="I15" s="9" t="s">
        <v>156</v>
      </c>
      <c r="J15" s="9" t="s">
        <v>121</v>
      </c>
      <c r="K15" s="10"/>
      <c r="L15" s="10" t="str">
        <f>"252,5"</f>
        <v>252,5</v>
      </c>
      <c r="M15" s="10" t="str">
        <f>"156,3862"</f>
        <v>156,3862</v>
      </c>
      <c r="N15" s="30" t="s">
        <v>37</v>
      </c>
    </row>
    <row r="16" ht="12.75">
      <c r="B16" s="6" t="s">
        <v>31</v>
      </c>
    </row>
    <row r="17" spans="1:13" ht="15">
      <c r="A17" s="43" t="s">
        <v>212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4" ht="12.75">
      <c r="A18" s="15" t="s">
        <v>24</v>
      </c>
      <c r="B18" s="12" t="s">
        <v>1634</v>
      </c>
      <c r="C18" s="12" t="s">
        <v>171</v>
      </c>
      <c r="D18" s="12" t="s">
        <v>1590</v>
      </c>
      <c r="E18" s="12" t="str">
        <f>"0,5890"</f>
        <v>0,5890</v>
      </c>
      <c r="F18" s="26" t="s">
        <v>15</v>
      </c>
      <c r="G18" s="12" t="s">
        <v>248</v>
      </c>
      <c r="H18" s="13" t="s">
        <v>120</v>
      </c>
      <c r="I18" s="14" t="s">
        <v>113</v>
      </c>
      <c r="J18" s="13" t="s">
        <v>113</v>
      </c>
      <c r="K18" s="15"/>
      <c r="L18" s="15" t="str">
        <f>"250,0"</f>
        <v>250,0</v>
      </c>
      <c r="M18" s="15" t="str">
        <f>"147,2500"</f>
        <v>147,2500</v>
      </c>
      <c r="N18" s="26" t="s">
        <v>37</v>
      </c>
    </row>
    <row r="19" spans="1:14" ht="12.75">
      <c r="A19" s="18" t="s">
        <v>13</v>
      </c>
      <c r="B19" s="16" t="s">
        <v>1635</v>
      </c>
      <c r="C19" s="16" t="s">
        <v>1636</v>
      </c>
      <c r="D19" s="16" t="s">
        <v>375</v>
      </c>
      <c r="E19" s="16" t="str">
        <f>"0,5917"</f>
        <v>0,5917</v>
      </c>
      <c r="F19" s="28" t="s">
        <v>15</v>
      </c>
      <c r="G19" s="16" t="s">
        <v>734</v>
      </c>
      <c r="H19" s="19" t="s">
        <v>135</v>
      </c>
      <c r="I19" s="19" t="s">
        <v>135</v>
      </c>
      <c r="J19" s="19" t="s">
        <v>135</v>
      </c>
      <c r="K19" s="18"/>
      <c r="L19" s="18" t="s">
        <v>23</v>
      </c>
      <c r="M19" s="18" t="str">
        <f>"0,0000"</f>
        <v>0,0000</v>
      </c>
      <c r="N19" s="28" t="s">
        <v>1637</v>
      </c>
    </row>
    <row r="20" ht="12.75">
      <c r="B20" s="6" t="s">
        <v>31</v>
      </c>
    </row>
    <row r="21" spans="1:13" ht="15">
      <c r="A21" s="43" t="s">
        <v>231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4" ht="12.75">
      <c r="A22" s="10" t="s">
        <v>24</v>
      </c>
      <c r="B22" s="8" t="s">
        <v>1638</v>
      </c>
      <c r="C22" s="8" t="s">
        <v>1639</v>
      </c>
      <c r="D22" s="8" t="s">
        <v>1640</v>
      </c>
      <c r="E22" s="8" t="str">
        <f>"0,5630"</f>
        <v>0,5630</v>
      </c>
      <c r="F22" s="30" t="s">
        <v>15</v>
      </c>
      <c r="G22" s="8" t="s">
        <v>122</v>
      </c>
      <c r="H22" s="9" t="s">
        <v>187</v>
      </c>
      <c r="I22" s="9" t="s">
        <v>273</v>
      </c>
      <c r="J22" s="9" t="s">
        <v>278</v>
      </c>
      <c r="K22" s="9" t="s">
        <v>283</v>
      </c>
      <c r="L22" s="10" t="str">
        <f>"305,0"</f>
        <v>305,0</v>
      </c>
      <c r="M22" s="10" t="str">
        <f>"171,7150"</f>
        <v>171,7150</v>
      </c>
      <c r="N22" s="30" t="s">
        <v>1641</v>
      </c>
    </row>
    <row r="23" ht="12.75">
      <c r="B23" s="6" t="s">
        <v>31</v>
      </c>
    </row>
  </sheetData>
  <sheetProtection/>
  <mergeCells count="18"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  <mergeCell ref="A14:M14"/>
    <mergeCell ref="A17:M17"/>
    <mergeCell ref="A21:M21"/>
    <mergeCell ref="B3:B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4.75390625" style="6" customWidth="1"/>
    <col min="3" max="3" width="29.25390625" style="6" customWidth="1"/>
    <col min="4" max="4" width="12.875" style="6" bestFit="1" customWidth="1"/>
    <col min="5" max="5" width="8.375" style="6" customWidth="1"/>
    <col min="6" max="6" width="27.25390625" style="6" customWidth="1"/>
    <col min="7" max="7" width="23.00390625" style="6" customWidth="1"/>
    <col min="8" max="11" width="5.375" style="7" bestFit="1" customWidth="1"/>
    <col min="12" max="12" width="8.75390625" style="7" customWidth="1"/>
    <col min="13" max="13" width="11.25390625" style="7" customWidth="1"/>
    <col min="14" max="14" width="27.125" style="6" bestFit="1" customWidth="1"/>
    <col min="15" max="16384" width="9.125" style="3" customWidth="1"/>
  </cols>
  <sheetData>
    <row r="1" spans="1:14" s="2" customFormat="1" ht="28.5" customHeight="1">
      <c r="A1" s="46" t="s">
        <v>1642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1533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78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5" t="s">
        <v>24</v>
      </c>
      <c r="B6" s="12" t="s">
        <v>1643</v>
      </c>
      <c r="C6" s="12" t="s">
        <v>1644</v>
      </c>
      <c r="D6" s="12" t="s">
        <v>333</v>
      </c>
      <c r="E6" s="12" t="str">
        <f>"0,9000"</f>
        <v>0,9000</v>
      </c>
      <c r="F6" s="26" t="s">
        <v>15</v>
      </c>
      <c r="G6" s="12" t="s">
        <v>151</v>
      </c>
      <c r="H6" s="13" t="s">
        <v>64</v>
      </c>
      <c r="I6" s="13" t="s">
        <v>82</v>
      </c>
      <c r="J6" s="14" t="s">
        <v>1645</v>
      </c>
      <c r="K6" s="15"/>
      <c r="L6" s="15" t="str">
        <f>"125,0"</f>
        <v>125,0</v>
      </c>
      <c r="M6" s="15" t="str">
        <f>"112,4938"</f>
        <v>112,4938</v>
      </c>
      <c r="N6" s="26" t="s">
        <v>451</v>
      </c>
    </row>
    <row r="7" spans="1:14" s="4" customFormat="1" ht="12.75">
      <c r="A7" s="18" t="s">
        <v>38</v>
      </c>
      <c r="B7" s="16" t="s">
        <v>1646</v>
      </c>
      <c r="C7" s="16" t="s">
        <v>1647</v>
      </c>
      <c r="D7" s="16" t="s">
        <v>667</v>
      </c>
      <c r="E7" s="16" t="str">
        <f>"0,9289"</f>
        <v>0,9289</v>
      </c>
      <c r="F7" s="28" t="s">
        <v>15</v>
      </c>
      <c r="G7" s="16" t="s">
        <v>100</v>
      </c>
      <c r="H7" s="17" t="s">
        <v>46</v>
      </c>
      <c r="I7" s="19" t="s">
        <v>18</v>
      </c>
      <c r="J7" s="17" t="s">
        <v>18</v>
      </c>
      <c r="K7" s="18"/>
      <c r="L7" s="18" t="str">
        <f>"90,0"</f>
        <v>90,0</v>
      </c>
      <c r="M7" s="18" t="str">
        <f>"83,6010"</f>
        <v>83,6010</v>
      </c>
      <c r="N7" s="28" t="s">
        <v>37</v>
      </c>
    </row>
    <row r="8" ht="12.75">
      <c r="B8" s="6" t="s">
        <v>31</v>
      </c>
    </row>
    <row r="9" spans="1:13" ht="15">
      <c r="A9" s="43" t="s">
        <v>89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ht="12.75">
      <c r="A10" s="15" t="s">
        <v>24</v>
      </c>
      <c r="B10" s="12" t="s">
        <v>1648</v>
      </c>
      <c r="C10" s="12" t="s">
        <v>1649</v>
      </c>
      <c r="D10" s="12" t="s">
        <v>348</v>
      </c>
      <c r="E10" s="12" t="str">
        <f>"0,6955"</f>
        <v>0,6955</v>
      </c>
      <c r="F10" s="26" t="s">
        <v>252</v>
      </c>
      <c r="G10" s="12" t="s">
        <v>16</v>
      </c>
      <c r="H10" s="13" t="s">
        <v>80</v>
      </c>
      <c r="I10" s="14" t="s">
        <v>104</v>
      </c>
      <c r="J10" s="13" t="s">
        <v>104</v>
      </c>
      <c r="K10" s="15"/>
      <c r="L10" s="15" t="str">
        <f>"160,0"</f>
        <v>160,0</v>
      </c>
      <c r="M10" s="15" t="str">
        <f>"111,2720"</f>
        <v>111,2720</v>
      </c>
      <c r="N10" s="26" t="s">
        <v>141</v>
      </c>
    </row>
    <row r="11" spans="1:14" ht="12.75">
      <c r="A11" s="18" t="s">
        <v>13</v>
      </c>
      <c r="B11" s="16" t="s">
        <v>1597</v>
      </c>
      <c r="C11" s="16" t="s">
        <v>1598</v>
      </c>
      <c r="D11" s="16" t="s">
        <v>107</v>
      </c>
      <c r="E11" s="16" t="str">
        <f>"0,6885"</f>
        <v>0,6885</v>
      </c>
      <c r="F11" s="28" t="s">
        <v>329</v>
      </c>
      <c r="G11" s="16" t="s">
        <v>330</v>
      </c>
      <c r="H11" s="19" t="s">
        <v>255</v>
      </c>
      <c r="I11" s="19" t="s">
        <v>255</v>
      </c>
      <c r="J11" s="19" t="s">
        <v>255</v>
      </c>
      <c r="K11" s="18"/>
      <c r="L11" s="18" t="s">
        <v>23</v>
      </c>
      <c r="M11" s="18" t="str">
        <f>"0,0000"</f>
        <v>0,0000</v>
      </c>
      <c r="N11" s="28" t="s">
        <v>1599</v>
      </c>
    </row>
    <row r="12" ht="12.75">
      <c r="B12" s="6" t="s">
        <v>31</v>
      </c>
    </row>
    <row r="13" spans="1:13" ht="15">
      <c r="A13" s="43" t="s">
        <v>144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4" ht="12.75">
      <c r="A14" s="15" t="s">
        <v>24</v>
      </c>
      <c r="B14" s="12" t="s">
        <v>1650</v>
      </c>
      <c r="C14" s="12" t="s">
        <v>1651</v>
      </c>
      <c r="D14" s="12" t="s">
        <v>158</v>
      </c>
      <c r="E14" s="12" t="str">
        <f>"0,6545"</f>
        <v>0,6545</v>
      </c>
      <c r="F14" s="12" t="s">
        <v>15</v>
      </c>
      <c r="G14" s="12" t="s">
        <v>264</v>
      </c>
      <c r="H14" s="13" t="s">
        <v>169</v>
      </c>
      <c r="I14" s="14" t="s">
        <v>194</v>
      </c>
      <c r="J14" s="14" t="s">
        <v>194</v>
      </c>
      <c r="K14" s="15"/>
      <c r="L14" s="15" t="str">
        <f>"167,5"</f>
        <v>167,5</v>
      </c>
      <c r="M14" s="15" t="str">
        <f>"109,6288"</f>
        <v>109,6288</v>
      </c>
      <c r="N14" s="26" t="s">
        <v>1652</v>
      </c>
    </row>
    <row r="15" spans="1:14" ht="12.75">
      <c r="A15" s="23" t="s">
        <v>24</v>
      </c>
      <c r="B15" s="20" t="s">
        <v>1653</v>
      </c>
      <c r="C15" s="20" t="s">
        <v>1654</v>
      </c>
      <c r="D15" s="20" t="s">
        <v>355</v>
      </c>
      <c r="E15" s="20" t="str">
        <f>"0,6503"</f>
        <v>0,6503</v>
      </c>
      <c r="F15" s="27" t="s">
        <v>329</v>
      </c>
      <c r="G15" s="20" t="s">
        <v>330</v>
      </c>
      <c r="H15" s="22" t="s">
        <v>120</v>
      </c>
      <c r="I15" s="21" t="s">
        <v>120</v>
      </c>
      <c r="J15" s="22" t="s">
        <v>135</v>
      </c>
      <c r="K15" s="23"/>
      <c r="L15" s="23" t="str">
        <f>"230,0"</f>
        <v>230,0</v>
      </c>
      <c r="M15" s="23" t="str">
        <f>"149,5575"</f>
        <v>149,5575</v>
      </c>
      <c r="N15" s="27" t="s">
        <v>1599</v>
      </c>
    </row>
    <row r="16" spans="1:14" ht="12.75">
      <c r="A16" s="18" t="s">
        <v>24</v>
      </c>
      <c r="B16" s="16" t="s">
        <v>828</v>
      </c>
      <c r="C16" s="16" t="s">
        <v>1655</v>
      </c>
      <c r="D16" s="16" t="s">
        <v>403</v>
      </c>
      <c r="E16" s="16" t="str">
        <f>"0,6583"</f>
        <v>0,6583</v>
      </c>
      <c r="F16" s="16" t="s">
        <v>15</v>
      </c>
      <c r="G16" s="16" t="s">
        <v>16</v>
      </c>
      <c r="H16" s="17" t="s">
        <v>58</v>
      </c>
      <c r="I16" s="17" t="s">
        <v>80</v>
      </c>
      <c r="J16" s="17" t="s">
        <v>104</v>
      </c>
      <c r="K16" s="18"/>
      <c r="L16" s="18" t="str">
        <f>"160,0"</f>
        <v>160,0</v>
      </c>
      <c r="M16" s="18" t="str">
        <f>"106,3894"</f>
        <v>106,3894</v>
      </c>
      <c r="N16" s="28" t="s">
        <v>37</v>
      </c>
    </row>
    <row r="17" ht="12.75">
      <c r="B17" s="6" t="s">
        <v>31</v>
      </c>
    </row>
    <row r="18" spans="1:13" ht="15">
      <c r="A18" s="43" t="s">
        <v>160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4" ht="12.75">
      <c r="A19" s="15" t="s">
        <v>24</v>
      </c>
      <c r="B19" s="12" t="s">
        <v>170</v>
      </c>
      <c r="C19" s="12" t="s">
        <v>171</v>
      </c>
      <c r="D19" s="12" t="s">
        <v>172</v>
      </c>
      <c r="E19" s="12" t="str">
        <f>"0,6119"</f>
        <v>0,6119</v>
      </c>
      <c r="F19" s="26" t="s">
        <v>115</v>
      </c>
      <c r="G19" s="12" t="s">
        <v>173</v>
      </c>
      <c r="H19" s="13" t="s">
        <v>112</v>
      </c>
      <c r="I19" s="13" t="s">
        <v>127</v>
      </c>
      <c r="J19" s="14" t="s">
        <v>192</v>
      </c>
      <c r="K19" s="15"/>
      <c r="L19" s="15" t="str">
        <f>"255,0"</f>
        <v>255,0</v>
      </c>
      <c r="M19" s="15" t="str">
        <f>"156,0218"</f>
        <v>156,0218</v>
      </c>
      <c r="N19" s="26" t="s">
        <v>37</v>
      </c>
    </row>
    <row r="20" spans="1:14" ht="12.75">
      <c r="A20" s="23" t="s">
        <v>24</v>
      </c>
      <c r="B20" s="20" t="s">
        <v>926</v>
      </c>
      <c r="C20" s="20" t="s">
        <v>1656</v>
      </c>
      <c r="D20" s="20" t="s">
        <v>183</v>
      </c>
      <c r="E20" s="20" t="str">
        <f>"0,6161"</f>
        <v>0,6161</v>
      </c>
      <c r="F20" s="27" t="s">
        <v>270</v>
      </c>
      <c r="G20" s="20" t="s">
        <v>271</v>
      </c>
      <c r="H20" s="22" t="s">
        <v>132</v>
      </c>
      <c r="I20" s="21" t="s">
        <v>116</v>
      </c>
      <c r="J20" s="22" t="s">
        <v>117</v>
      </c>
      <c r="K20" s="23"/>
      <c r="L20" s="23" t="str">
        <f>"200,0"</f>
        <v>200,0</v>
      </c>
      <c r="M20" s="23" t="str">
        <f>"128,5080"</f>
        <v>128,5080</v>
      </c>
      <c r="N20" s="27" t="s">
        <v>37</v>
      </c>
    </row>
    <row r="21" spans="1:14" ht="12.75">
      <c r="A21" s="23" t="s">
        <v>38</v>
      </c>
      <c r="B21" s="20" t="s">
        <v>157</v>
      </c>
      <c r="C21" s="20" t="s">
        <v>1657</v>
      </c>
      <c r="D21" s="20" t="s">
        <v>1606</v>
      </c>
      <c r="E21" s="20" t="str">
        <f>"0,6406"</f>
        <v>0,6406</v>
      </c>
      <c r="F21" s="20" t="s">
        <v>86</v>
      </c>
      <c r="G21" s="20" t="s">
        <v>87</v>
      </c>
      <c r="H21" s="21" t="s">
        <v>64</v>
      </c>
      <c r="I21" s="21" t="s">
        <v>68</v>
      </c>
      <c r="J21" s="22" t="s">
        <v>80</v>
      </c>
      <c r="K21" s="23"/>
      <c r="L21" s="23" t="str">
        <f>"135,0"</f>
        <v>135,0</v>
      </c>
      <c r="M21" s="23" t="str">
        <f>"90,2067"</f>
        <v>90,2067</v>
      </c>
      <c r="N21" s="27" t="s">
        <v>159</v>
      </c>
    </row>
    <row r="22" spans="1:14" ht="12.75">
      <c r="A22" s="18" t="s">
        <v>13</v>
      </c>
      <c r="B22" s="16" t="s">
        <v>455</v>
      </c>
      <c r="C22" s="16" t="s">
        <v>1658</v>
      </c>
      <c r="D22" s="16" t="s">
        <v>175</v>
      </c>
      <c r="E22" s="16" t="str">
        <f>"0,6137"</f>
        <v>0,6137</v>
      </c>
      <c r="F22" s="28" t="s">
        <v>329</v>
      </c>
      <c r="G22" s="16" t="s">
        <v>330</v>
      </c>
      <c r="H22" s="19" t="s">
        <v>116</v>
      </c>
      <c r="I22" s="19" t="s">
        <v>116</v>
      </c>
      <c r="J22" s="19" t="s">
        <v>116</v>
      </c>
      <c r="K22" s="18"/>
      <c r="L22" s="18" t="s">
        <v>23</v>
      </c>
      <c r="M22" s="18" t="str">
        <f>"0,0000"</f>
        <v>0,0000</v>
      </c>
      <c r="N22" s="28" t="s">
        <v>331</v>
      </c>
    </row>
    <row r="23" ht="12.75">
      <c r="B23" s="6" t="s">
        <v>31</v>
      </c>
    </row>
    <row r="24" spans="1:13" ht="15">
      <c r="A24" s="43" t="s">
        <v>184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4" ht="12.75">
      <c r="A25" s="15" t="s">
        <v>24</v>
      </c>
      <c r="B25" s="12" t="s">
        <v>1659</v>
      </c>
      <c r="C25" s="12" t="s">
        <v>1660</v>
      </c>
      <c r="D25" s="12" t="s">
        <v>296</v>
      </c>
      <c r="E25" s="12" t="str">
        <f>"0,5838"</f>
        <v>0,5838</v>
      </c>
      <c r="F25" s="12" t="s">
        <v>15</v>
      </c>
      <c r="G25" s="12" t="s">
        <v>568</v>
      </c>
      <c r="H25" s="14" t="s">
        <v>195</v>
      </c>
      <c r="I25" s="13" t="s">
        <v>265</v>
      </c>
      <c r="J25" s="13" t="s">
        <v>283</v>
      </c>
      <c r="K25" s="15"/>
      <c r="L25" s="15" t="str">
        <f>"315,0"</f>
        <v>315,0</v>
      </c>
      <c r="M25" s="15" t="str">
        <f>"183,8970"</f>
        <v>183,8970</v>
      </c>
      <c r="N25" s="26" t="s">
        <v>37</v>
      </c>
    </row>
    <row r="26" spans="1:14" ht="12.75">
      <c r="A26" s="23" t="s">
        <v>38</v>
      </c>
      <c r="B26" s="20" t="s">
        <v>1661</v>
      </c>
      <c r="C26" s="20" t="s">
        <v>1662</v>
      </c>
      <c r="D26" s="20" t="s">
        <v>282</v>
      </c>
      <c r="E26" s="20" t="str">
        <f>"0,5840"</f>
        <v>0,5840</v>
      </c>
      <c r="F26" s="20" t="s">
        <v>15</v>
      </c>
      <c r="G26" s="20" t="s">
        <v>1547</v>
      </c>
      <c r="H26" s="22" t="s">
        <v>120</v>
      </c>
      <c r="I26" s="21" t="s">
        <v>120</v>
      </c>
      <c r="J26" s="22" t="s">
        <v>112</v>
      </c>
      <c r="K26" s="23"/>
      <c r="L26" s="23" t="str">
        <f>"230,0"</f>
        <v>230,0</v>
      </c>
      <c r="M26" s="23" t="str">
        <f>"134,3315"</f>
        <v>134,3315</v>
      </c>
      <c r="N26" s="27" t="s">
        <v>37</v>
      </c>
    </row>
    <row r="27" spans="1:14" ht="12.75">
      <c r="A27" s="18" t="s">
        <v>72</v>
      </c>
      <c r="B27" s="16" t="s">
        <v>1663</v>
      </c>
      <c r="C27" s="16" t="s">
        <v>432</v>
      </c>
      <c r="D27" s="16" t="s">
        <v>1589</v>
      </c>
      <c r="E27" s="16" t="str">
        <f>"0,5908"</f>
        <v>0,5908</v>
      </c>
      <c r="F27" s="16" t="s">
        <v>15</v>
      </c>
      <c r="G27" s="16" t="s">
        <v>16</v>
      </c>
      <c r="H27" s="19" t="s">
        <v>116</v>
      </c>
      <c r="I27" s="17" t="s">
        <v>116</v>
      </c>
      <c r="J27" s="19" t="s">
        <v>117</v>
      </c>
      <c r="K27" s="18"/>
      <c r="L27" s="18" t="str">
        <f>"200,0"</f>
        <v>200,0</v>
      </c>
      <c r="M27" s="18" t="str">
        <f>"118,1600"</f>
        <v>118,1600</v>
      </c>
      <c r="N27" s="28" t="s">
        <v>1664</v>
      </c>
    </row>
    <row r="28" ht="12.75">
      <c r="B28" s="6" t="s">
        <v>31</v>
      </c>
    </row>
    <row r="29" spans="1:13" ht="15">
      <c r="A29" s="43" t="s">
        <v>212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4" ht="12.75">
      <c r="A30" s="15" t="s">
        <v>24</v>
      </c>
      <c r="B30" s="12" t="s">
        <v>219</v>
      </c>
      <c r="C30" s="12" t="s">
        <v>1665</v>
      </c>
      <c r="D30" s="12" t="s">
        <v>221</v>
      </c>
      <c r="E30" s="12" t="str">
        <f>"0,5647"</f>
        <v>0,5647</v>
      </c>
      <c r="F30" s="12" t="s">
        <v>15</v>
      </c>
      <c r="G30" s="12" t="s">
        <v>209</v>
      </c>
      <c r="H30" s="14" t="s">
        <v>64</v>
      </c>
      <c r="I30" s="13" t="s">
        <v>110</v>
      </c>
      <c r="J30" s="13" t="s">
        <v>127</v>
      </c>
      <c r="K30" s="13" t="s">
        <v>311</v>
      </c>
      <c r="L30" s="15" t="str">
        <f>"255,0"</f>
        <v>255,0</v>
      </c>
      <c r="M30" s="15" t="str">
        <f>"143,9985"</f>
        <v>143,9985</v>
      </c>
      <c r="N30" s="26" t="s">
        <v>223</v>
      </c>
    </row>
    <row r="31" spans="1:14" ht="12.75">
      <c r="A31" s="23" t="s">
        <v>38</v>
      </c>
      <c r="B31" s="20" t="s">
        <v>1666</v>
      </c>
      <c r="C31" s="20" t="s">
        <v>1667</v>
      </c>
      <c r="D31" s="20" t="s">
        <v>217</v>
      </c>
      <c r="E31" s="20" t="str">
        <f>"0,5781"</f>
        <v>0,5781</v>
      </c>
      <c r="F31" s="20" t="s">
        <v>1668</v>
      </c>
      <c r="G31" s="20" t="s">
        <v>16</v>
      </c>
      <c r="H31" s="21" t="s">
        <v>132</v>
      </c>
      <c r="I31" s="22" t="s">
        <v>125</v>
      </c>
      <c r="J31" s="22" t="s">
        <v>255</v>
      </c>
      <c r="K31" s="23"/>
      <c r="L31" s="23" t="str">
        <f>"190,0"</f>
        <v>190,0</v>
      </c>
      <c r="M31" s="23" t="str">
        <f>"109,8295"</f>
        <v>109,8295</v>
      </c>
      <c r="N31" s="27" t="s">
        <v>1587</v>
      </c>
    </row>
    <row r="32" spans="1:14" ht="12.75">
      <c r="A32" s="23" t="s">
        <v>24</v>
      </c>
      <c r="B32" s="20" t="s">
        <v>1669</v>
      </c>
      <c r="C32" s="20" t="s">
        <v>1670</v>
      </c>
      <c r="D32" s="20" t="s">
        <v>1093</v>
      </c>
      <c r="E32" s="20" t="str">
        <f>"0,5701"</f>
        <v>0,5701</v>
      </c>
      <c r="F32" s="20" t="s">
        <v>15</v>
      </c>
      <c r="G32" s="20" t="s">
        <v>16</v>
      </c>
      <c r="H32" s="21" t="s">
        <v>278</v>
      </c>
      <c r="I32" s="22" t="s">
        <v>174</v>
      </c>
      <c r="J32" s="22" t="s">
        <v>174</v>
      </c>
      <c r="K32" s="23"/>
      <c r="L32" s="23" t="str">
        <f>"305,0"</f>
        <v>305,0</v>
      </c>
      <c r="M32" s="23" t="str">
        <f>"179,2708"</f>
        <v>179,2708</v>
      </c>
      <c r="N32" s="27" t="s">
        <v>1671</v>
      </c>
    </row>
    <row r="33" spans="1:14" ht="12.75">
      <c r="A33" s="23" t="s">
        <v>38</v>
      </c>
      <c r="B33" s="20" t="s">
        <v>219</v>
      </c>
      <c r="C33" s="20" t="s">
        <v>1600</v>
      </c>
      <c r="D33" s="20" t="s">
        <v>221</v>
      </c>
      <c r="E33" s="20" t="str">
        <f>"0,5647"</f>
        <v>0,5647</v>
      </c>
      <c r="F33" s="20" t="s">
        <v>15</v>
      </c>
      <c r="G33" s="20" t="s">
        <v>209</v>
      </c>
      <c r="H33" s="22" t="s">
        <v>64</v>
      </c>
      <c r="I33" s="21" t="s">
        <v>110</v>
      </c>
      <c r="J33" s="21" t="s">
        <v>127</v>
      </c>
      <c r="K33" s="21" t="s">
        <v>311</v>
      </c>
      <c r="L33" s="23" t="str">
        <f>"255,0"</f>
        <v>255,0</v>
      </c>
      <c r="M33" s="23" t="str">
        <f>"146,8785"</f>
        <v>146,8785</v>
      </c>
      <c r="N33" s="27" t="s">
        <v>223</v>
      </c>
    </row>
    <row r="34" spans="1:14" ht="12.75">
      <c r="A34" s="18" t="s">
        <v>24</v>
      </c>
      <c r="B34" s="16" t="s">
        <v>1099</v>
      </c>
      <c r="C34" s="16" t="s">
        <v>1672</v>
      </c>
      <c r="D34" s="16" t="s">
        <v>303</v>
      </c>
      <c r="E34" s="16" t="str">
        <f>"0,5640"</f>
        <v>0,5640</v>
      </c>
      <c r="F34" s="28" t="s">
        <v>252</v>
      </c>
      <c r="G34" s="16" t="s">
        <v>16</v>
      </c>
      <c r="H34" s="17" t="s">
        <v>120</v>
      </c>
      <c r="I34" s="19" t="s">
        <v>113</v>
      </c>
      <c r="J34" s="19" t="s">
        <v>113</v>
      </c>
      <c r="K34" s="18"/>
      <c r="L34" s="18" t="str">
        <f>"230,0"</f>
        <v>230,0</v>
      </c>
      <c r="M34" s="18" t="str">
        <f>"161,6168"</f>
        <v>161,6168</v>
      </c>
      <c r="N34" s="28" t="s">
        <v>37</v>
      </c>
    </row>
    <row r="35" ht="12.75">
      <c r="B35" s="6" t="s">
        <v>31</v>
      </c>
    </row>
    <row r="36" spans="1:13" ht="15">
      <c r="A36" s="43" t="s">
        <v>224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4" ht="12.75">
      <c r="A37" s="10" t="s">
        <v>24</v>
      </c>
      <c r="B37" s="8" t="s">
        <v>1601</v>
      </c>
      <c r="C37" s="8" t="s">
        <v>1605</v>
      </c>
      <c r="D37" s="8" t="s">
        <v>1602</v>
      </c>
      <c r="E37" s="8" t="str">
        <f>"0,5526"</f>
        <v>0,5526</v>
      </c>
      <c r="F37" s="30" t="s">
        <v>115</v>
      </c>
      <c r="G37" s="30" t="s">
        <v>1603</v>
      </c>
      <c r="H37" s="9" t="s">
        <v>113</v>
      </c>
      <c r="I37" s="11" t="s">
        <v>230</v>
      </c>
      <c r="J37" s="9" t="s">
        <v>187</v>
      </c>
      <c r="K37" s="10"/>
      <c r="L37" s="10" t="str">
        <f>"280,0"</f>
        <v>280,0</v>
      </c>
      <c r="M37" s="10" t="str">
        <f>"167,4157"</f>
        <v>167,4157</v>
      </c>
      <c r="N37" s="30" t="s">
        <v>1604</v>
      </c>
    </row>
    <row r="38" ht="12.75">
      <c r="B38" s="6" t="s">
        <v>31</v>
      </c>
    </row>
    <row r="39" spans="1:13" ht="15">
      <c r="A39" s="43" t="s">
        <v>231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4" ht="12.75">
      <c r="A40" s="10" t="s">
        <v>24</v>
      </c>
      <c r="B40" s="8" t="s">
        <v>1673</v>
      </c>
      <c r="C40" s="8" t="s">
        <v>1674</v>
      </c>
      <c r="D40" s="8" t="s">
        <v>1128</v>
      </c>
      <c r="E40" s="8" t="str">
        <f>"0,5342"</f>
        <v>0,5342</v>
      </c>
      <c r="F40" s="8" t="s">
        <v>15</v>
      </c>
      <c r="G40" s="8" t="s">
        <v>16</v>
      </c>
      <c r="H40" s="9" t="s">
        <v>258</v>
      </c>
      <c r="I40" s="11" t="s">
        <v>410</v>
      </c>
      <c r="J40" s="11" t="s">
        <v>410</v>
      </c>
      <c r="K40" s="10"/>
      <c r="L40" s="10" t="str">
        <f>"285,0"</f>
        <v>285,0</v>
      </c>
      <c r="M40" s="10" t="str">
        <f>"152,2456"</f>
        <v>152,2456</v>
      </c>
      <c r="N40" s="30" t="s">
        <v>37</v>
      </c>
    </row>
    <row r="41" ht="12.75">
      <c r="B41" s="6" t="s">
        <v>31</v>
      </c>
    </row>
    <row r="42" ht="12.75">
      <c r="B42" s="6" t="s">
        <v>31</v>
      </c>
    </row>
    <row r="43" spans="2:4" ht="18">
      <c r="B43" s="6" t="s">
        <v>31</v>
      </c>
      <c r="C43" s="24" t="s">
        <v>236</v>
      </c>
      <c r="D43" s="24"/>
    </row>
    <row r="44" spans="2:4" ht="15">
      <c r="B44" s="6" t="s">
        <v>31</v>
      </c>
      <c r="C44" s="41" t="s">
        <v>242</v>
      </c>
      <c r="D44" s="41"/>
    </row>
    <row r="45" spans="2:4" ht="14.25">
      <c r="B45" s="6" t="s">
        <v>31</v>
      </c>
      <c r="C45" s="25"/>
      <c r="D45" s="25" t="s">
        <v>238</v>
      </c>
    </row>
    <row r="46" spans="2:7" ht="15">
      <c r="B46" s="6" t="s">
        <v>31</v>
      </c>
      <c r="C46" s="5" t="s">
        <v>1</v>
      </c>
      <c r="D46" s="5" t="s">
        <v>239</v>
      </c>
      <c r="E46" s="5" t="s">
        <v>240</v>
      </c>
      <c r="F46" s="5" t="s">
        <v>8</v>
      </c>
      <c r="G46" s="5" t="s">
        <v>1533</v>
      </c>
    </row>
    <row r="47" spans="2:7" ht="12.75">
      <c r="B47" s="6" t="s">
        <v>31</v>
      </c>
      <c r="C47" s="6" t="s">
        <v>1659</v>
      </c>
      <c r="D47" s="6" t="s">
        <v>238</v>
      </c>
      <c r="E47" s="7" t="s">
        <v>61</v>
      </c>
      <c r="F47" s="7" t="s">
        <v>283</v>
      </c>
      <c r="G47" s="7" t="s">
        <v>1675</v>
      </c>
    </row>
    <row r="48" spans="2:7" ht="12.75">
      <c r="B48" s="6" t="s">
        <v>31</v>
      </c>
      <c r="C48" s="6" t="s">
        <v>170</v>
      </c>
      <c r="D48" s="6" t="s">
        <v>238</v>
      </c>
      <c r="E48" s="7" t="s">
        <v>18</v>
      </c>
      <c r="F48" s="7" t="s">
        <v>127</v>
      </c>
      <c r="G48" s="7" t="s">
        <v>1676</v>
      </c>
    </row>
    <row r="49" spans="2:7" ht="12.75">
      <c r="B49" s="6" t="s">
        <v>31</v>
      </c>
      <c r="C49" s="6" t="s">
        <v>1673</v>
      </c>
      <c r="D49" s="6" t="s">
        <v>238</v>
      </c>
      <c r="E49" s="7" t="s">
        <v>58</v>
      </c>
      <c r="F49" s="7" t="s">
        <v>258</v>
      </c>
      <c r="G49" s="7" t="s">
        <v>1677</v>
      </c>
    </row>
  </sheetData>
  <sheetProtection/>
  <mergeCells count="20">
    <mergeCell ref="A18:M18"/>
    <mergeCell ref="A24:M24"/>
    <mergeCell ref="A29:M29"/>
    <mergeCell ref="A36:M36"/>
    <mergeCell ref="A39:M39"/>
    <mergeCell ref="N3:N4"/>
    <mergeCell ref="A5:M5"/>
    <mergeCell ref="A9:M9"/>
    <mergeCell ref="A13:M13"/>
    <mergeCell ref="A1:N2"/>
    <mergeCell ref="A3:A4"/>
    <mergeCell ref="C3:C4"/>
    <mergeCell ref="D3:D4"/>
    <mergeCell ref="E3:E4"/>
    <mergeCell ref="F3:F4"/>
    <mergeCell ref="B3:B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2.375" style="6" customWidth="1"/>
    <col min="3" max="3" width="29.75390625" style="6" customWidth="1"/>
    <col min="4" max="4" width="12.875" style="6" bestFit="1" customWidth="1"/>
    <col min="5" max="5" width="8.375" style="6" customWidth="1"/>
    <col min="6" max="6" width="25.75390625" style="6" customWidth="1"/>
    <col min="7" max="7" width="24.375" style="6" customWidth="1"/>
    <col min="8" max="11" width="5.375" style="7" bestFit="1" customWidth="1"/>
    <col min="12" max="12" width="8.375" style="7" customWidth="1"/>
    <col min="13" max="13" width="10.75390625" style="7" customWidth="1"/>
    <col min="14" max="14" width="26.875" style="6" bestFit="1" customWidth="1"/>
    <col min="15" max="16384" width="9.125" style="3" customWidth="1"/>
  </cols>
  <sheetData>
    <row r="1" spans="1:14" s="2" customFormat="1" ht="28.5" customHeight="1">
      <c r="A1" s="46" t="s">
        <v>1678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1533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78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5" t="s">
        <v>24</v>
      </c>
      <c r="B6" s="12" t="s">
        <v>1679</v>
      </c>
      <c r="C6" s="12" t="s">
        <v>1680</v>
      </c>
      <c r="D6" s="12" t="s">
        <v>1588</v>
      </c>
      <c r="E6" s="12" t="str">
        <f>"0,9028"</f>
        <v>0,9028</v>
      </c>
      <c r="F6" s="12" t="s">
        <v>15</v>
      </c>
      <c r="G6" s="12" t="s">
        <v>16</v>
      </c>
      <c r="H6" s="13" t="s">
        <v>82</v>
      </c>
      <c r="I6" s="13" t="s">
        <v>57</v>
      </c>
      <c r="J6" s="14" t="s">
        <v>68</v>
      </c>
      <c r="K6" s="15"/>
      <c r="L6" s="15" t="str">
        <f>"130,0"</f>
        <v>130,0</v>
      </c>
      <c r="M6" s="15" t="str">
        <f>"117,3640"</f>
        <v>117,3640</v>
      </c>
      <c r="N6" s="26" t="s">
        <v>1664</v>
      </c>
    </row>
    <row r="7" spans="1:14" s="4" customFormat="1" ht="12.75">
      <c r="A7" s="23" t="s">
        <v>24</v>
      </c>
      <c r="B7" s="20" t="s">
        <v>1594</v>
      </c>
      <c r="C7" s="20" t="s">
        <v>1681</v>
      </c>
      <c r="D7" s="20" t="s">
        <v>592</v>
      </c>
      <c r="E7" s="20" t="str">
        <f>"0,9439"</f>
        <v>0,9439</v>
      </c>
      <c r="F7" s="27" t="s">
        <v>252</v>
      </c>
      <c r="G7" s="20" t="s">
        <v>359</v>
      </c>
      <c r="H7" s="21" t="s">
        <v>42</v>
      </c>
      <c r="I7" s="21" t="s">
        <v>55</v>
      </c>
      <c r="J7" s="21" t="s">
        <v>96</v>
      </c>
      <c r="K7" s="21" t="s">
        <v>22</v>
      </c>
      <c r="L7" s="23" t="str">
        <f>"97,5"</f>
        <v>97,5</v>
      </c>
      <c r="M7" s="23" t="str">
        <f>"99,5767"</f>
        <v>99,5767</v>
      </c>
      <c r="N7" s="27" t="s">
        <v>1559</v>
      </c>
    </row>
    <row r="8" spans="1:14" ht="12.75">
      <c r="A8" s="23" t="s">
        <v>24</v>
      </c>
      <c r="B8" s="20" t="s">
        <v>1679</v>
      </c>
      <c r="C8" s="20" t="s">
        <v>1682</v>
      </c>
      <c r="D8" s="20" t="s">
        <v>1588</v>
      </c>
      <c r="E8" s="20" t="str">
        <f>"0,9028"</f>
        <v>0,9028</v>
      </c>
      <c r="F8" s="20" t="s">
        <v>15</v>
      </c>
      <c r="G8" s="20" t="s">
        <v>16</v>
      </c>
      <c r="H8" s="21" t="s">
        <v>82</v>
      </c>
      <c r="I8" s="21" t="s">
        <v>57</v>
      </c>
      <c r="J8" s="22" t="s">
        <v>68</v>
      </c>
      <c r="K8" s="23"/>
      <c r="L8" s="23" t="str">
        <f>"130,0"</f>
        <v>130,0</v>
      </c>
      <c r="M8" s="23" t="str">
        <f>"136,7291"</f>
        <v>136,7291</v>
      </c>
      <c r="N8" s="27" t="s">
        <v>1664</v>
      </c>
    </row>
    <row r="9" spans="1:14" ht="12.75">
      <c r="A9" s="18" t="s">
        <v>38</v>
      </c>
      <c r="B9" s="16" t="s">
        <v>1683</v>
      </c>
      <c r="C9" s="16" t="s">
        <v>1684</v>
      </c>
      <c r="D9" s="16" t="s">
        <v>1183</v>
      </c>
      <c r="E9" s="16" t="str">
        <f>"0,9092"</f>
        <v>0,9092</v>
      </c>
      <c r="F9" s="28" t="s">
        <v>252</v>
      </c>
      <c r="G9" s="16" t="s">
        <v>16</v>
      </c>
      <c r="H9" s="17" t="s">
        <v>19</v>
      </c>
      <c r="I9" s="17" t="s">
        <v>22</v>
      </c>
      <c r="J9" s="19" t="s">
        <v>84</v>
      </c>
      <c r="K9" s="18"/>
      <c r="L9" s="18" t="str">
        <f>"105,0"</f>
        <v>105,0</v>
      </c>
      <c r="M9" s="18" t="str">
        <f>"123,2398"</f>
        <v>123,2398</v>
      </c>
      <c r="N9" s="28" t="s">
        <v>141</v>
      </c>
    </row>
    <row r="10" ht="12.75">
      <c r="B10" s="6" t="s">
        <v>31</v>
      </c>
    </row>
    <row r="11" spans="1:13" ht="15">
      <c r="A11" s="43" t="s">
        <v>144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12.75">
      <c r="A12" s="15" t="s">
        <v>24</v>
      </c>
      <c r="B12" s="12" t="s">
        <v>1224</v>
      </c>
      <c r="C12" s="12" t="s">
        <v>1685</v>
      </c>
      <c r="D12" s="12" t="s">
        <v>1226</v>
      </c>
      <c r="E12" s="12" t="str">
        <f>"0,6535"</f>
        <v>0,6535</v>
      </c>
      <c r="F12" s="12" t="s">
        <v>15</v>
      </c>
      <c r="G12" s="12" t="s">
        <v>1227</v>
      </c>
      <c r="H12" s="13" t="s">
        <v>132</v>
      </c>
      <c r="I12" s="13" t="s">
        <v>146</v>
      </c>
      <c r="J12" s="15"/>
      <c r="K12" s="15"/>
      <c r="L12" s="15" t="str">
        <f>"205,0"</f>
        <v>205,0</v>
      </c>
      <c r="M12" s="15" t="str">
        <f>"133,9573"</f>
        <v>133,9573</v>
      </c>
      <c r="N12" s="26" t="s">
        <v>37</v>
      </c>
    </row>
    <row r="13" spans="1:14" ht="12.75">
      <c r="A13" s="23" t="s">
        <v>24</v>
      </c>
      <c r="B13" s="20" t="s">
        <v>1686</v>
      </c>
      <c r="C13" s="20" t="s">
        <v>1687</v>
      </c>
      <c r="D13" s="20" t="s">
        <v>771</v>
      </c>
      <c r="E13" s="20" t="str">
        <f>"0,6557"</f>
        <v>0,6557</v>
      </c>
      <c r="F13" s="20" t="s">
        <v>15</v>
      </c>
      <c r="G13" s="20" t="s">
        <v>16</v>
      </c>
      <c r="H13" s="21" t="s">
        <v>118</v>
      </c>
      <c r="I13" s="21" t="s">
        <v>148</v>
      </c>
      <c r="J13" s="22" t="s">
        <v>135</v>
      </c>
      <c r="K13" s="23"/>
      <c r="L13" s="23" t="str">
        <f>"220,0"</f>
        <v>220,0</v>
      </c>
      <c r="M13" s="23" t="str">
        <f>"144,2430"</f>
        <v>144,2430</v>
      </c>
      <c r="N13" s="27" t="s">
        <v>37</v>
      </c>
    </row>
    <row r="14" spans="1:14" ht="12.75">
      <c r="A14" s="23" t="s">
        <v>38</v>
      </c>
      <c r="B14" s="20" t="s">
        <v>1688</v>
      </c>
      <c r="C14" s="20" t="s">
        <v>1689</v>
      </c>
      <c r="D14" s="20" t="s">
        <v>266</v>
      </c>
      <c r="E14" s="20" t="str">
        <f>"0,6561"</f>
        <v>0,6561</v>
      </c>
      <c r="F14" s="27" t="s">
        <v>70</v>
      </c>
      <c r="G14" s="20" t="s">
        <v>1586</v>
      </c>
      <c r="H14" s="21" t="s">
        <v>132</v>
      </c>
      <c r="I14" s="22" t="s">
        <v>146</v>
      </c>
      <c r="J14" s="21" t="s">
        <v>146</v>
      </c>
      <c r="K14" s="23"/>
      <c r="L14" s="23" t="str">
        <f>"205,0"</f>
        <v>205,0</v>
      </c>
      <c r="M14" s="23" t="str">
        <f>"134,5107"</f>
        <v>134,5107</v>
      </c>
      <c r="N14" s="27" t="s">
        <v>1690</v>
      </c>
    </row>
    <row r="15" spans="1:14" ht="12.75">
      <c r="A15" s="18" t="s">
        <v>24</v>
      </c>
      <c r="B15" s="16" t="s">
        <v>1686</v>
      </c>
      <c r="C15" s="16" t="s">
        <v>1691</v>
      </c>
      <c r="D15" s="16" t="s">
        <v>771</v>
      </c>
      <c r="E15" s="16" t="str">
        <f>"0,6557"</f>
        <v>0,6557</v>
      </c>
      <c r="F15" s="16" t="s">
        <v>15</v>
      </c>
      <c r="G15" s="16" t="s">
        <v>16</v>
      </c>
      <c r="H15" s="17" t="s">
        <v>118</v>
      </c>
      <c r="I15" s="17" t="s">
        <v>148</v>
      </c>
      <c r="J15" s="19" t="s">
        <v>135</v>
      </c>
      <c r="K15" s="18"/>
      <c r="L15" s="18" t="str">
        <f>"220,0"</f>
        <v>220,0</v>
      </c>
      <c r="M15" s="18" t="str">
        <f>"148,7145"</f>
        <v>148,7145</v>
      </c>
      <c r="N15" s="28" t="s">
        <v>37</v>
      </c>
    </row>
    <row r="16" ht="12.75">
      <c r="B16" s="6" t="s">
        <v>31</v>
      </c>
    </row>
    <row r="17" spans="1:13" ht="15">
      <c r="A17" s="43" t="s">
        <v>160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4" ht="12.75">
      <c r="A18" s="15" t="s">
        <v>13</v>
      </c>
      <c r="B18" s="12" t="s">
        <v>1692</v>
      </c>
      <c r="C18" s="12" t="s">
        <v>1693</v>
      </c>
      <c r="D18" s="12" t="s">
        <v>274</v>
      </c>
      <c r="E18" s="12" t="str">
        <f>"0,6165"</f>
        <v>0,6165</v>
      </c>
      <c r="F18" s="26" t="s">
        <v>329</v>
      </c>
      <c r="G18" s="12" t="s">
        <v>330</v>
      </c>
      <c r="H18" s="14" t="s">
        <v>288</v>
      </c>
      <c r="I18" s="14" t="s">
        <v>288</v>
      </c>
      <c r="J18" s="14" t="s">
        <v>288</v>
      </c>
      <c r="K18" s="15"/>
      <c r="L18" s="15" t="s">
        <v>23</v>
      </c>
      <c r="M18" s="15" t="str">
        <f>"0,0000"</f>
        <v>0,0000</v>
      </c>
      <c r="N18" s="26" t="s">
        <v>37</v>
      </c>
    </row>
    <row r="19" spans="1:14" ht="12.75">
      <c r="A19" s="23" t="s">
        <v>24</v>
      </c>
      <c r="B19" s="20" t="s">
        <v>1694</v>
      </c>
      <c r="C19" s="20" t="s">
        <v>1695</v>
      </c>
      <c r="D19" s="20" t="s">
        <v>164</v>
      </c>
      <c r="E19" s="20" t="str">
        <f>"0,6145"</f>
        <v>0,6145</v>
      </c>
      <c r="F19" s="27" t="s">
        <v>70</v>
      </c>
      <c r="G19" s="20" t="s">
        <v>1586</v>
      </c>
      <c r="H19" s="21" t="s">
        <v>405</v>
      </c>
      <c r="I19" s="21" t="s">
        <v>258</v>
      </c>
      <c r="J19" s="22" t="s">
        <v>273</v>
      </c>
      <c r="K19" s="23"/>
      <c r="L19" s="23" t="str">
        <f>"285,0"</f>
        <v>285,0</v>
      </c>
      <c r="M19" s="23" t="str">
        <f>"175,1467"</f>
        <v>175,1467</v>
      </c>
      <c r="N19" s="27" t="s">
        <v>1587</v>
      </c>
    </row>
    <row r="20" spans="1:14" ht="12.75">
      <c r="A20" s="23" t="s">
        <v>38</v>
      </c>
      <c r="B20" s="20" t="s">
        <v>1696</v>
      </c>
      <c r="C20" s="20" t="s">
        <v>1697</v>
      </c>
      <c r="D20" s="20" t="s">
        <v>161</v>
      </c>
      <c r="E20" s="20" t="str">
        <f>"0,6157"</f>
        <v>0,6157</v>
      </c>
      <c r="F20" s="20" t="s">
        <v>15</v>
      </c>
      <c r="G20" s="20" t="s">
        <v>225</v>
      </c>
      <c r="H20" s="22" t="s">
        <v>113</v>
      </c>
      <c r="I20" s="21" t="s">
        <v>186</v>
      </c>
      <c r="J20" s="21" t="s">
        <v>193</v>
      </c>
      <c r="K20" s="23"/>
      <c r="L20" s="23" t="str">
        <f>"275,0"</f>
        <v>275,0</v>
      </c>
      <c r="M20" s="23" t="str">
        <f>"169,3175"</f>
        <v>169,3175</v>
      </c>
      <c r="N20" s="27" t="s">
        <v>1176</v>
      </c>
    </row>
    <row r="21" spans="1:14" ht="12.75">
      <c r="A21" s="23" t="s">
        <v>72</v>
      </c>
      <c r="B21" s="20" t="s">
        <v>1698</v>
      </c>
      <c r="C21" s="20" t="s">
        <v>1279</v>
      </c>
      <c r="D21" s="20" t="s">
        <v>898</v>
      </c>
      <c r="E21" s="20" t="str">
        <f>"0,6345"</f>
        <v>0,6345</v>
      </c>
      <c r="F21" s="27" t="s">
        <v>252</v>
      </c>
      <c r="G21" s="20" t="s">
        <v>359</v>
      </c>
      <c r="H21" s="21" t="s">
        <v>186</v>
      </c>
      <c r="I21" s="21" t="s">
        <v>128</v>
      </c>
      <c r="J21" s="22" t="s">
        <v>187</v>
      </c>
      <c r="K21" s="23"/>
      <c r="L21" s="23" t="str">
        <f>"270,0"</f>
        <v>270,0</v>
      </c>
      <c r="M21" s="23" t="str">
        <f>"171,3015"</f>
        <v>171,3015</v>
      </c>
      <c r="N21" s="27" t="s">
        <v>1699</v>
      </c>
    </row>
    <row r="22" spans="1:14" ht="12.75">
      <c r="A22" s="23" t="s">
        <v>74</v>
      </c>
      <c r="B22" s="20" t="s">
        <v>1700</v>
      </c>
      <c r="C22" s="20" t="s">
        <v>1701</v>
      </c>
      <c r="D22" s="20" t="s">
        <v>275</v>
      </c>
      <c r="E22" s="20" t="str">
        <f>"0,6149"</f>
        <v>0,6149</v>
      </c>
      <c r="F22" s="27" t="s">
        <v>252</v>
      </c>
      <c r="G22" s="20" t="s">
        <v>878</v>
      </c>
      <c r="H22" s="21" t="s">
        <v>131</v>
      </c>
      <c r="I22" s="22" t="s">
        <v>124</v>
      </c>
      <c r="J22" s="21" t="s">
        <v>124</v>
      </c>
      <c r="K22" s="23"/>
      <c r="L22" s="23" t="str">
        <f>"195,0"</f>
        <v>195,0</v>
      </c>
      <c r="M22" s="23" t="str">
        <f>"119,9055"</f>
        <v>119,9055</v>
      </c>
      <c r="N22" s="27" t="s">
        <v>37</v>
      </c>
    </row>
    <row r="23" spans="1:14" ht="12.75">
      <c r="A23" s="23" t="s">
        <v>85</v>
      </c>
      <c r="B23" s="20" t="s">
        <v>1702</v>
      </c>
      <c r="C23" s="20" t="s">
        <v>1703</v>
      </c>
      <c r="D23" s="20" t="s">
        <v>916</v>
      </c>
      <c r="E23" s="20" t="str">
        <f>"0,6230"</f>
        <v>0,6230</v>
      </c>
      <c r="F23" s="20" t="s">
        <v>15</v>
      </c>
      <c r="G23" s="20" t="s">
        <v>424</v>
      </c>
      <c r="H23" s="21" t="s">
        <v>131</v>
      </c>
      <c r="I23" s="22" t="s">
        <v>132</v>
      </c>
      <c r="J23" s="21" t="s">
        <v>132</v>
      </c>
      <c r="K23" s="23"/>
      <c r="L23" s="23" t="str">
        <f>"190,0"</f>
        <v>190,0</v>
      </c>
      <c r="M23" s="23" t="str">
        <f>"118,3700"</f>
        <v>118,3700</v>
      </c>
      <c r="N23" s="27" t="s">
        <v>37</v>
      </c>
    </row>
    <row r="24" spans="1:14" ht="12.75">
      <c r="A24" s="18" t="s">
        <v>13</v>
      </c>
      <c r="B24" s="16" t="s">
        <v>1692</v>
      </c>
      <c r="C24" s="16" t="s">
        <v>1704</v>
      </c>
      <c r="D24" s="16" t="s">
        <v>274</v>
      </c>
      <c r="E24" s="16" t="str">
        <f>"0,6165"</f>
        <v>0,6165</v>
      </c>
      <c r="F24" s="28" t="s">
        <v>329</v>
      </c>
      <c r="G24" s="16" t="s">
        <v>330</v>
      </c>
      <c r="H24" s="19" t="s">
        <v>288</v>
      </c>
      <c r="I24" s="19" t="s">
        <v>288</v>
      </c>
      <c r="J24" s="19" t="s">
        <v>288</v>
      </c>
      <c r="K24" s="18"/>
      <c r="L24" s="18" t="s">
        <v>23</v>
      </c>
      <c r="M24" s="18" t="str">
        <f>"0,0000"</f>
        <v>0,0000</v>
      </c>
      <c r="N24" s="28" t="s">
        <v>37</v>
      </c>
    </row>
    <row r="25" ht="12.75">
      <c r="B25" s="6" t="s">
        <v>31</v>
      </c>
    </row>
    <row r="26" spans="1:13" ht="15">
      <c r="A26" s="43" t="s">
        <v>184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4" ht="12.75">
      <c r="A27" s="15" t="s">
        <v>24</v>
      </c>
      <c r="B27" s="12" t="s">
        <v>1705</v>
      </c>
      <c r="C27" s="12" t="s">
        <v>1596</v>
      </c>
      <c r="D27" s="12" t="s">
        <v>1339</v>
      </c>
      <c r="E27" s="12" t="str">
        <f>"0,5955"</f>
        <v>0,5955</v>
      </c>
      <c r="F27" s="26" t="s">
        <v>252</v>
      </c>
      <c r="G27" s="26" t="s">
        <v>786</v>
      </c>
      <c r="H27" s="13" t="s">
        <v>109</v>
      </c>
      <c r="I27" s="13" t="s">
        <v>135</v>
      </c>
      <c r="J27" s="13" t="s">
        <v>156</v>
      </c>
      <c r="K27" s="15"/>
      <c r="L27" s="15" t="str">
        <f>"245,0"</f>
        <v>245,0</v>
      </c>
      <c r="M27" s="15" t="str">
        <f>"145,8975"</f>
        <v>145,8975</v>
      </c>
      <c r="N27" s="26" t="s">
        <v>1706</v>
      </c>
    </row>
    <row r="28" spans="1:14" ht="12.75">
      <c r="A28" s="18" t="s">
        <v>38</v>
      </c>
      <c r="B28" s="16" t="s">
        <v>1304</v>
      </c>
      <c r="C28" s="16" t="s">
        <v>1707</v>
      </c>
      <c r="D28" s="16" t="s">
        <v>990</v>
      </c>
      <c r="E28" s="16" t="str">
        <f>"0,5850"</f>
        <v>0,5850</v>
      </c>
      <c r="F28" s="16" t="s">
        <v>15</v>
      </c>
      <c r="G28" s="16" t="s">
        <v>1306</v>
      </c>
      <c r="H28" s="17" t="s">
        <v>109</v>
      </c>
      <c r="I28" s="17" t="s">
        <v>177</v>
      </c>
      <c r="J28" s="19" t="s">
        <v>152</v>
      </c>
      <c r="K28" s="18"/>
      <c r="L28" s="18" t="str">
        <f>"237,5"</f>
        <v>237,5</v>
      </c>
      <c r="M28" s="18" t="str">
        <f>"138,9494"</f>
        <v>138,9494</v>
      </c>
      <c r="N28" s="28" t="s">
        <v>37</v>
      </c>
    </row>
    <row r="29" ht="12.75">
      <c r="B29" s="6" t="s">
        <v>31</v>
      </c>
    </row>
    <row r="30" spans="1:13" ht="15">
      <c r="A30" s="43" t="s">
        <v>212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 ht="12.75">
      <c r="A31" s="15" t="s">
        <v>24</v>
      </c>
      <c r="B31" s="12" t="s">
        <v>1377</v>
      </c>
      <c r="C31" s="12" t="s">
        <v>1378</v>
      </c>
      <c r="D31" s="12" t="s">
        <v>216</v>
      </c>
      <c r="E31" s="12" t="str">
        <f>"0,5645"</f>
        <v>0,5645</v>
      </c>
      <c r="F31" s="12" t="s">
        <v>15</v>
      </c>
      <c r="G31" s="12" t="s">
        <v>1379</v>
      </c>
      <c r="H31" s="13" t="s">
        <v>308</v>
      </c>
      <c r="I31" s="13" t="s">
        <v>420</v>
      </c>
      <c r="J31" s="13" t="s">
        <v>1708</v>
      </c>
      <c r="K31" s="15"/>
      <c r="L31" s="15" t="str">
        <f>"352,5"</f>
        <v>352,5</v>
      </c>
      <c r="M31" s="15" t="str">
        <f>"199,0039"</f>
        <v>199,0039</v>
      </c>
      <c r="N31" s="26" t="s">
        <v>37</v>
      </c>
    </row>
    <row r="32" spans="1:14" ht="12.75">
      <c r="A32" s="23" t="s">
        <v>38</v>
      </c>
      <c r="B32" s="20" t="s">
        <v>1371</v>
      </c>
      <c r="C32" s="20" t="s">
        <v>820</v>
      </c>
      <c r="D32" s="20" t="s">
        <v>1372</v>
      </c>
      <c r="E32" s="20" t="str">
        <f>"0,5664"</f>
        <v>0,5664</v>
      </c>
      <c r="F32" s="20" t="s">
        <v>15</v>
      </c>
      <c r="G32" s="20" t="s">
        <v>225</v>
      </c>
      <c r="H32" s="21" t="s">
        <v>174</v>
      </c>
      <c r="I32" s="21" t="s">
        <v>1608</v>
      </c>
      <c r="J32" s="21" t="s">
        <v>419</v>
      </c>
      <c r="K32" s="23"/>
      <c r="L32" s="23" t="str">
        <f>"335,0"</f>
        <v>335,0</v>
      </c>
      <c r="M32" s="23" t="str">
        <f>"189,7607"</f>
        <v>189,7607</v>
      </c>
      <c r="N32" s="27" t="s">
        <v>37</v>
      </c>
    </row>
    <row r="33" spans="1:14" ht="12.75">
      <c r="A33" s="23" t="s">
        <v>72</v>
      </c>
      <c r="B33" s="20" t="s">
        <v>1709</v>
      </c>
      <c r="C33" s="20" t="s">
        <v>1710</v>
      </c>
      <c r="D33" s="20" t="s">
        <v>1372</v>
      </c>
      <c r="E33" s="20" t="str">
        <f>"0,5664"</f>
        <v>0,5664</v>
      </c>
      <c r="F33" s="20" t="s">
        <v>15</v>
      </c>
      <c r="G33" s="27" t="s">
        <v>1711</v>
      </c>
      <c r="H33" s="21" t="s">
        <v>174</v>
      </c>
      <c r="I33" s="22" t="s">
        <v>1608</v>
      </c>
      <c r="J33" s="21" t="s">
        <v>1608</v>
      </c>
      <c r="K33" s="23"/>
      <c r="L33" s="23" t="str">
        <f>"332,5"</f>
        <v>332,5</v>
      </c>
      <c r="M33" s="23" t="str">
        <f>"188,3446"</f>
        <v>188,3446</v>
      </c>
      <c r="N33" s="27" t="s">
        <v>37</v>
      </c>
    </row>
    <row r="34" spans="1:14" ht="12.75">
      <c r="A34" s="23" t="s">
        <v>74</v>
      </c>
      <c r="B34" s="20" t="s">
        <v>1669</v>
      </c>
      <c r="C34" s="20" t="s">
        <v>1712</v>
      </c>
      <c r="D34" s="20" t="s">
        <v>1093</v>
      </c>
      <c r="E34" s="20" t="str">
        <f>"0,5701"</f>
        <v>0,5701</v>
      </c>
      <c r="F34" s="20" t="s">
        <v>15</v>
      </c>
      <c r="G34" s="20" t="s">
        <v>16</v>
      </c>
      <c r="H34" s="21" t="s">
        <v>278</v>
      </c>
      <c r="I34" s="22" t="s">
        <v>174</v>
      </c>
      <c r="J34" s="22" t="s">
        <v>174</v>
      </c>
      <c r="K34" s="23"/>
      <c r="L34" s="23" t="str">
        <f>"305,0"</f>
        <v>305,0</v>
      </c>
      <c r="M34" s="23" t="str">
        <f>"173,8805"</f>
        <v>173,8805</v>
      </c>
      <c r="N34" s="27" t="s">
        <v>1671</v>
      </c>
    </row>
    <row r="35" spans="1:14" ht="12.75">
      <c r="A35" s="23" t="s">
        <v>85</v>
      </c>
      <c r="B35" s="20" t="s">
        <v>1713</v>
      </c>
      <c r="C35" s="20" t="s">
        <v>1714</v>
      </c>
      <c r="D35" s="20" t="s">
        <v>1715</v>
      </c>
      <c r="E35" s="20" t="str">
        <f>"0,5774"</f>
        <v>0,5774</v>
      </c>
      <c r="F35" s="20" t="s">
        <v>15</v>
      </c>
      <c r="G35" s="20" t="s">
        <v>100</v>
      </c>
      <c r="H35" s="21" t="s">
        <v>193</v>
      </c>
      <c r="I35" s="22" t="s">
        <v>195</v>
      </c>
      <c r="J35" s="22" t="s">
        <v>265</v>
      </c>
      <c r="K35" s="23"/>
      <c r="L35" s="23" t="str">
        <f>"275,0"</f>
        <v>275,0</v>
      </c>
      <c r="M35" s="23" t="str">
        <f>"158,7850"</f>
        <v>158,7850</v>
      </c>
      <c r="N35" s="27" t="s">
        <v>37</v>
      </c>
    </row>
    <row r="36" spans="1:14" ht="12.75">
      <c r="A36" s="23" t="s">
        <v>136</v>
      </c>
      <c r="B36" s="20" t="s">
        <v>219</v>
      </c>
      <c r="C36" s="20" t="s">
        <v>1665</v>
      </c>
      <c r="D36" s="20" t="s">
        <v>221</v>
      </c>
      <c r="E36" s="20" t="str">
        <f>"0,5647"</f>
        <v>0,5647</v>
      </c>
      <c r="F36" s="20" t="s">
        <v>15</v>
      </c>
      <c r="G36" s="20" t="s">
        <v>209</v>
      </c>
      <c r="H36" s="22" t="s">
        <v>64</v>
      </c>
      <c r="I36" s="21" t="s">
        <v>110</v>
      </c>
      <c r="J36" s="21" t="s">
        <v>127</v>
      </c>
      <c r="K36" s="21" t="s">
        <v>311</v>
      </c>
      <c r="L36" s="23" t="str">
        <f>"255,0"</f>
        <v>255,0</v>
      </c>
      <c r="M36" s="23" t="str">
        <f>"143,9985"</f>
        <v>143,9985</v>
      </c>
      <c r="N36" s="27" t="s">
        <v>223</v>
      </c>
    </row>
    <row r="37" spans="1:14" ht="12.75">
      <c r="A37" s="23" t="s">
        <v>13</v>
      </c>
      <c r="B37" s="20" t="s">
        <v>1716</v>
      </c>
      <c r="C37" s="20" t="s">
        <v>1717</v>
      </c>
      <c r="D37" s="20" t="s">
        <v>1718</v>
      </c>
      <c r="E37" s="20" t="str">
        <f>"0,5735"</f>
        <v>0,5735</v>
      </c>
      <c r="F37" s="20" t="s">
        <v>15</v>
      </c>
      <c r="G37" s="20" t="s">
        <v>225</v>
      </c>
      <c r="H37" s="22" t="s">
        <v>265</v>
      </c>
      <c r="I37" s="22" t="s">
        <v>265</v>
      </c>
      <c r="J37" s="22" t="s">
        <v>174</v>
      </c>
      <c r="K37" s="23"/>
      <c r="L37" s="23" t="s">
        <v>23</v>
      </c>
      <c r="M37" s="23" t="str">
        <f>"0,0000"</f>
        <v>0,0000</v>
      </c>
      <c r="N37" s="27" t="s">
        <v>1719</v>
      </c>
    </row>
    <row r="38" spans="1:14" ht="12.75">
      <c r="A38" s="23" t="s">
        <v>24</v>
      </c>
      <c r="B38" s="20" t="s">
        <v>1669</v>
      </c>
      <c r="C38" s="20" t="s">
        <v>1670</v>
      </c>
      <c r="D38" s="20" t="s">
        <v>1093</v>
      </c>
      <c r="E38" s="20" t="str">
        <f>"0,5701"</f>
        <v>0,5701</v>
      </c>
      <c r="F38" s="20" t="s">
        <v>15</v>
      </c>
      <c r="G38" s="20" t="s">
        <v>16</v>
      </c>
      <c r="H38" s="21" t="s">
        <v>278</v>
      </c>
      <c r="I38" s="22" t="s">
        <v>174</v>
      </c>
      <c r="J38" s="22" t="s">
        <v>174</v>
      </c>
      <c r="K38" s="23"/>
      <c r="L38" s="23" t="str">
        <f>"305,0"</f>
        <v>305,0</v>
      </c>
      <c r="M38" s="23" t="str">
        <f>"179,2708"</f>
        <v>179,2708</v>
      </c>
      <c r="N38" s="27" t="s">
        <v>1671</v>
      </c>
    </row>
    <row r="39" spans="1:14" ht="12.75">
      <c r="A39" s="23" t="s">
        <v>38</v>
      </c>
      <c r="B39" s="20" t="s">
        <v>219</v>
      </c>
      <c r="C39" s="20" t="s">
        <v>1600</v>
      </c>
      <c r="D39" s="20" t="s">
        <v>221</v>
      </c>
      <c r="E39" s="20" t="str">
        <f>"0,5647"</f>
        <v>0,5647</v>
      </c>
      <c r="F39" s="20" t="s">
        <v>15</v>
      </c>
      <c r="G39" s="20" t="s">
        <v>209</v>
      </c>
      <c r="H39" s="22" t="s">
        <v>64</v>
      </c>
      <c r="I39" s="21" t="s">
        <v>110</v>
      </c>
      <c r="J39" s="21" t="s">
        <v>127</v>
      </c>
      <c r="K39" s="21" t="s">
        <v>311</v>
      </c>
      <c r="L39" s="23" t="str">
        <f>"255,0"</f>
        <v>255,0</v>
      </c>
      <c r="M39" s="23" t="str">
        <f>"146,8785"</f>
        <v>146,8785</v>
      </c>
      <c r="N39" s="27" t="s">
        <v>223</v>
      </c>
    </row>
    <row r="40" spans="1:14" ht="12.75">
      <c r="A40" s="18" t="s">
        <v>24</v>
      </c>
      <c r="B40" s="16" t="s">
        <v>1099</v>
      </c>
      <c r="C40" s="16" t="s">
        <v>1672</v>
      </c>
      <c r="D40" s="16" t="s">
        <v>303</v>
      </c>
      <c r="E40" s="16" t="str">
        <f>"0,5640"</f>
        <v>0,5640</v>
      </c>
      <c r="F40" s="28" t="s">
        <v>252</v>
      </c>
      <c r="G40" s="16" t="s">
        <v>16</v>
      </c>
      <c r="H40" s="17" t="s">
        <v>120</v>
      </c>
      <c r="I40" s="19" t="s">
        <v>113</v>
      </c>
      <c r="J40" s="19" t="s">
        <v>113</v>
      </c>
      <c r="K40" s="18"/>
      <c r="L40" s="18" t="str">
        <f>"230,0"</f>
        <v>230,0</v>
      </c>
      <c r="M40" s="18" t="str">
        <f>"161,6168"</f>
        <v>161,6168</v>
      </c>
      <c r="N40" s="28" t="s">
        <v>37</v>
      </c>
    </row>
    <row r="41" ht="12.75">
      <c r="B41" s="6" t="s">
        <v>31</v>
      </c>
    </row>
    <row r="42" spans="1:13" ht="15">
      <c r="A42" s="43" t="s">
        <v>224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4" ht="12.75">
      <c r="A43" s="15" t="s">
        <v>13</v>
      </c>
      <c r="B43" s="12" t="s">
        <v>1720</v>
      </c>
      <c r="C43" s="12" t="s">
        <v>1721</v>
      </c>
      <c r="D43" s="12" t="s">
        <v>1722</v>
      </c>
      <c r="E43" s="12" t="str">
        <f>"0,5550"</f>
        <v>0,5550</v>
      </c>
      <c r="F43" s="12" t="s">
        <v>15</v>
      </c>
      <c r="G43" s="12" t="s">
        <v>1723</v>
      </c>
      <c r="H43" s="14" t="s">
        <v>278</v>
      </c>
      <c r="I43" s="14" t="s">
        <v>278</v>
      </c>
      <c r="J43" s="14" t="s">
        <v>278</v>
      </c>
      <c r="K43" s="15"/>
      <c r="L43" s="15" t="s">
        <v>23</v>
      </c>
      <c r="M43" s="15" t="str">
        <f>"0,0000"</f>
        <v>0,0000</v>
      </c>
      <c r="N43" s="26" t="s">
        <v>1724</v>
      </c>
    </row>
    <row r="44" spans="1:14" ht="12.75">
      <c r="A44" s="18" t="s">
        <v>24</v>
      </c>
      <c r="B44" s="16" t="s">
        <v>1725</v>
      </c>
      <c r="C44" s="16" t="s">
        <v>1726</v>
      </c>
      <c r="D44" s="16" t="s">
        <v>1446</v>
      </c>
      <c r="E44" s="16" t="str">
        <f>"0,5469"</f>
        <v>0,5469</v>
      </c>
      <c r="F44" s="16" t="s">
        <v>15</v>
      </c>
      <c r="G44" s="16" t="s">
        <v>122</v>
      </c>
      <c r="H44" s="19" t="s">
        <v>187</v>
      </c>
      <c r="I44" s="17" t="s">
        <v>187</v>
      </c>
      <c r="J44" s="19" t="s">
        <v>278</v>
      </c>
      <c r="K44" s="18"/>
      <c r="L44" s="18" t="str">
        <f>"280,0"</f>
        <v>280,0</v>
      </c>
      <c r="M44" s="18" t="str">
        <f>"161,5395"</f>
        <v>161,5395</v>
      </c>
      <c r="N44" s="28" t="s">
        <v>1719</v>
      </c>
    </row>
    <row r="45" ht="12.75">
      <c r="B45" s="6" t="s">
        <v>31</v>
      </c>
    </row>
    <row r="46" ht="12.75">
      <c r="B46" s="6" t="s">
        <v>31</v>
      </c>
    </row>
    <row r="47" spans="2:4" ht="18">
      <c r="B47" s="6" t="s">
        <v>31</v>
      </c>
      <c r="C47" s="24" t="s">
        <v>236</v>
      </c>
      <c r="D47" s="24"/>
    </row>
    <row r="48" spans="2:4" ht="15">
      <c r="B48" s="6" t="s">
        <v>31</v>
      </c>
      <c r="C48" s="41" t="s">
        <v>242</v>
      </c>
      <c r="D48" s="41"/>
    </row>
    <row r="49" spans="2:4" ht="14.25">
      <c r="B49" s="6" t="s">
        <v>31</v>
      </c>
      <c r="C49" s="25"/>
      <c r="D49" s="25" t="s">
        <v>238</v>
      </c>
    </row>
    <row r="50" spans="2:7" ht="15">
      <c r="B50" s="6" t="s">
        <v>31</v>
      </c>
      <c r="C50" s="5" t="s">
        <v>1</v>
      </c>
      <c r="D50" s="5" t="s">
        <v>239</v>
      </c>
      <c r="E50" s="5" t="s">
        <v>240</v>
      </c>
      <c r="F50" s="5" t="s">
        <v>8</v>
      </c>
      <c r="G50" s="5" t="s">
        <v>1533</v>
      </c>
    </row>
    <row r="51" spans="2:7" ht="12.75">
      <c r="B51" s="6" t="s">
        <v>31</v>
      </c>
      <c r="C51" s="6" t="s">
        <v>1377</v>
      </c>
      <c r="D51" s="6" t="s">
        <v>238</v>
      </c>
      <c r="E51" s="7" t="s">
        <v>33</v>
      </c>
      <c r="F51" s="7" t="s">
        <v>1708</v>
      </c>
      <c r="G51" s="7" t="s">
        <v>1727</v>
      </c>
    </row>
    <row r="52" spans="2:7" ht="12.75">
      <c r="B52" s="6" t="s">
        <v>31</v>
      </c>
      <c r="C52" s="6" t="s">
        <v>1371</v>
      </c>
      <c r="D52" s="6" t="s">
        <v>238</v>
      </c>
      <c r="E52" s="7" t="s">
        <v>33</v>
      </c>
      <c r="F52" s="7" t="s">
        <v>419</v>
      </c>
      <c r="G52" s="7" t="s">
        <v>1728</v>
      </c>
    </row>
    <row r="53" spans="2:7" ht="12.75">
      <c r="B53" s="6" t="s">
        <v>31</v>
      </c>
      <c r="C53" s="6" t="s">
        <v>1709</v>
      </c>
      <c r="D53" s="6" t="s">
        <v>238</v>
      </c>
      <c r="E53" s="7" t="s">
        <v>33</v>
      </c>
      <c r="F53" s="7" t="s">
        <v>1608</v>
      </c>
      <c r="G53" s="7" t="s">
        <v>1729</v>
      </c>
    </row>
  </sheetData>
  <sheetProtection/>
  <mergeCells count="18">
    <mergeCell ref="A17:M17"/>
    <mergeCell ref="A26:M26"/>
    <mergeCell ref="A30:M30"/>
    <mergeCell ref="A42:M42"/>
    <mergeCell ref="B3:B4"/>
    <mergeCell ref="G3:G4"/>
    <mergeCell ref="F3:F4"/>
    <mergeCell ref="A5:M5"/>
    <mergeCell ref="A11:M11"/>
    <mergeCell ref="E3:E4"/>
    <mergeCell ref="L3:L4"/>
    <mergeCell ref="M3:M4"/>
    <mergeCell ref="A1:N2"/>
    <mergeCell ref="H3:K3"/>
    <mergeCell ref="A3:A4"/>
    <mergeCell ref="C3:C4"/>
    <mergeCell ref="D3:D4"/>
    <mergeCell ref="N3:N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 r:id="rId2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3.125" style="6" customWidth="1"/>
    <col min="3" max="3" width="27.00390625" style="6" bestFit="1" customWidth="1"/>
    <col min="4" max="4" width="10.375" style="6" bestFit="1" customWidth="1"/>
    <col min="5" max="5" width="6.875" style="6" bestFit="1" customWidth="1"/>
    <col min="6" max="6" width="17.25390625" style="6" bestFit="1" customWidth="1"/>
    <col min="7" max="7" width="17.25390625" style="6" customWidth="1"/>
    <col min="8" max="10" width="5.375" style="7" bestFit="1" customWidth="1"/>
    <col min="11" max="11" width="5.00390625" style="7" bestFit="1" customWidth="1"/>
    <col min="12" max="12" width="7.375" style="7" bestFit="1" customWidth="1"/>
    <col min="13" max="13" width="9.375" style="7" customWidth="1"/>
    <col min="14" max="14" width="19.875" style="6" customWidth="1"/>
    <col min="15" max="16384" width="9.125" style="3" customWidth="1"/>
  </cols>
  <sheetData>
    <row r="1" spans="1:14" s="2" customFormat="1" ht="28.5" customHeight="1">
      <c r="A1" s="46" t="s">
        <v>1730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1533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160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0" t="s">
        <v>24</v>
      </c>
      <c r="B6" s="8" t="s">
        <v>1731</v>
      </c>
      <c r="C6" s="8" t="s">
        <v>1732</v>
      </c>
      <c r="D6" s="8" t="s">
        <v>416</v>
      </c>
      <c r="E6" s="8" t="str">
        <f>"0,6188"</f>
        <v>0,6188</v>
      </c>
      <c r="F6" s="8" t="s">
        <v>15</v>
      </c>
      <c r="G6" s="8" t="s">
        <v>1090</v>
      </c>
      <c r="H6" s="9" t="s">
        <v>120</v>
      </c>
      <c r="I6" s="11" t="s">
        <v>113</v>
      </c>
      <c r="J6" s="11" t="s">
        <v>113</v>
      </c>
      <c r="K6" s="10"/>
      <c r="L6" s="10" t="str">
        <f>"230,0"</f>
        <v>230,0</v>
      </c>
      <c r="M6" s="10" t="str">
        <f>"142,3355"</f>
        <v>142,3355</v>
      </c>
      <c r="N6" s="30" t="s">
        <v>37</v>
      </c>
    </row>
    <row r="7" spans="1:14" s="4" customFormat="1" ht="12.75">
      <c r="A7" s="7"/>
      <c r="B7" s="6" t="s">
        <v>31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</sheetData>
  <sheetProtection/>
  <mergeCells count="13"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0.875" style="6" customWidth="1"/>
    <col min="3" max="3" width="27.00390625" style="6" bestFit="1" customWidth="1"/>
    <col min="4" max="4" width="10.375" style="6" bestFit="1" customWidth="1"/>
    <col min="5" max="5" width="11.25390625" style="6" customWidth="1"/>
    <col min="6" max="6" width="25.375" style="6" customWidth="1"/>
    <col min="7" max="7" width="23.875" style="6" customWidth="1"/>
    <col min="8" max="11" width="5.375" style="7" bestFit="1" customWidth="1"/>
    <col min="12" max="12" width="8.875" style="7" customWidth="1"/>
    <col min="13" max="13" width="10.875" style="7" customWidth="1"/>
    <col min="14" max="14" width="19.875" style="6" customWidth="1"/>
    <col min="15" max="16384" width="9.125" style="3" customWidth="1"/>
  </cols>
  <sheetData>
    <row r="1" spans="1:14" s="2" customFormat="1" ht="28.5" customHeight="1">
      <c r="A1" s="46" t="s">
        <v>1733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1.5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0</v>
      </c>
      <c r="B3" s="44" t="s">
        <v>1</v>
      </c>
      <c r="C3" s="56" t="s">
        <v>2</v>
      </c>
      <c r="D3" s="56" t="s">
        <v>3</v>
      </c>
      <c r="E3" s="44" t="s">
        <v>1533</v>
      </c>
      <c r="F3" s="44" t="s">
        <v>5</v>
      </c>
      <c r="G3" s="44" t="s">
        <v>6</v>
      </c>
      <c r="H3" s="44" t="s">
        <v>7</v>
      </c>
      <c r="I3" s="44"/>
      <c r="J3" s="44"/>
      <c r="K3" s="44"/>
      <c r="L3" s="44" t="s">
        <v>496</v>
      </c>
      <c r="M3" s="44" t="s">
        <v>9</v>
      </c>
      <c r="N3" s="58" t="s">
        <v>10</v>
      </c>
    </row>
    <row r="4" spans="1:14" s="1" customFormat="1" ht="23.25" customHeight="1" thickBot="1">
      <c r="A4" s="55"/>
      <c r="B4" s="45"/>
      <c r="C4" s="57"/>
      <c r="D4" s="57"/>
      <c r="E4" s="57"/>
      <c r="F4" s="57"/>
      <c r="G4" s="57"/>
      <c r="H4" s="42">
        <v>1</v>
      </c>
      <c r="I4" s="42">
        <v>2</v>
      </c>
      <c r="J4" s="42">
        <v>3</v>
      </c>
      <c r="K4" s="42" t="s">
        <v>11</v>
      </c>
      <c r="L4" s="57"/>
      <c r="M4" s="57"/>
      <c r="N4" s="59"/>
    </row>
    <row r="5" spans="1:14" s="4" customFormat="1" ht="15">
      <c r="A5" s="43" t="s">
        <v>89</v>
      </c>
      <c r="B5" s="4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/>
    </row>
    <row r="6" spans="1:14" s="4" customFormat="1" ht="12.75">
      <c r="A6" s="10" t="s">
        <v>24</v>
      </c>
      <c r="B6" s="8" t="s">
        <v>1734</v>
      </c>
      <c r="C6" s="8" t="s">
        <v>1735</v>
      </c>
      <c r="D6" s="8" t="s">
        <v>337</v>
      </c>
      <c r="E6" s="8" t="str">
        <f>"0,6990"</f>
        <v>0,6990</v>
      </c>
      <c r="F6" s="30" t="s">
        <v>252</v>
      </c>
      <c r="G6" s="8" t="s">
        <v>16</v>
      </c>
      <c r="H6" s="9" t="s">
        <v>131</v>
      </c>
      <c r="I6" s="11" t="s">
        <v>132</v>
      </c>
      <c r="J6" s="11" t="s">
        <v>132</v>
      </c>
      <c r="K6" s="10"/>
      <c r="L6" s="10" t="str">
        <f>"180,0"</f>
        <v>180,0</v>
      </c>
      <c r="M6" s="10" t="str">
        <f>"125,8200"</f>
        <v>125,8200</v>
      </c>
      <c r="N6" s="30" t="s">
        <v>141</v>
      </c>
    </row>
    <row r="7" spans="1:14" s="4" customFormat="1" ht="12.75">
      <c r="A7" s="7"/>
      <c r="B7" s="6" t="s">
        <v>31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  <row r="8" spans="1:13" ht="15">
      <c r="A8" s="43" t="s">
        <v>160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ht="12.75">
      <c r="A9" s="10" t="s">
        <v>24</v>
      </c>
      <c r="B9" s="8" t="s">
        <v>1736</v>
      </c>
      <c r="C9" s="8" t="s">
        <v>1737</v>
      </c>
      <c r="D9" s="8" t="s">
        <v>454</v>
      </c>
      <c r="E9" s="8" t="str">
        <f>"0,6126"</f>
        <v>0,6126</v>
      </c>
      <c r="F9" s="30" t="s">
        <v>252</v>
      </c>
      <c r="G9" s="8" t="s">
        <v>16</v>
      </c>
      <c r="H9" s="9" t="s">
        <v>265</v>
      </c>
      <c r="I9" s="11" t="s">
        <v>279</v>
      </c>
      <c r="J9" s="11" t="s">
        <v>279</v>
      </c>
      <c r="K9" s="10"/>
      <c r="L9" s="10" t="str">
        <f>"300,0"</f>
        <v>300,0</v>
      </c>
      <c r="M9" s="10" t="str">
        <f>"183,7800"</f>
        <v>183,7800</v>
      </c>
      <c r="N9" s="30" t="s">
        <v>141</v>
      </c>
    </row>
    <row r="10" ht="12.75">
      <c r="B10" s="6" t="s">
        <v>31</v>
      </c>
    </row>
    <row r="11" spans="1:13" ht="15">
      <c r="A11" s="43" t="s">
        <v>184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12.75">
      <c r="A12" s="15" t="s">
        <v>24</v>
      </c>
      <c r="B12" s="12" t="s">
        <v>1738</v>
      </c>
      <c r="C12" s="12" t="s">
        <v>1739</v>
      </c>
      <c r="D12" s="12" t="s">
        <v>1327</v>
      </c>
      <c r="E12" s="12" t="str">
        <f>"0,5816"</f>
        <v>0,5816</v>
      </c>
      <c r="F12" s="26" t="s">
        <v>86</v>
      </c>
      <c r="G12" s="12" t="s">
        <v>1740</v>
      </c>
      <c r="H12" s="13" t="s">
        <v>398</v>
      </c>
      <c r="I12" s="13" t="s">
        <v>309</v>
      </c>
      <c r="J12" s="13" t="s">
        <v>441</v>
      </c>
      <c r="K12" s="15"/>
      <c r="L12" s="15" t="str">
        <f>"370,0"</f>
        <v>370,0</v>
      </c>
      <c r="M12" s="15" t="str">
        <f>"215,1735"</f>
        <v>215,1735</v>
      </c>
      <c r="N12" s="26" t="s">
        <v>37</v>
      </c>
    </row>
    <row r="13" spans="1:14" ht="12.75">
      <c r="A13" s="18" t="s">
        <v>13</v>
      </c>
      <c r="B13" s="16" t="s">
        <v>1741</v>
      </c>
      <c r="C13" s="16" t="s">
        <v>1742</v>
      </c>
      <c r="D13" s="16" t="s">
        <v>200</v>
      </c>
      <c r="E13" s="16" t="str">
        <f>"0,5871"</f>
        <v>0,5871</v>
      </c>
      <c r="F13" s="28" t="s">
        <v>252</v>
      </c>
      <c r="G13" s="16" t="s">
        <v>351</v>
      </c>
      <c r="H13" s="19" t="s">
        <v>315</v>
      </c>
      <c r="I13" s="19" t="s">
        <v>315</v>
      </c>
      <c r="J13" s="19" t="s">
        <v>313</v>
      </c>
      <c r="K13" s="18"/>
      <c r="L13" s="18" t="s">
        <v>23</v>
      </c>
      <c r="M13" s="18" t="str">
        <f>"0,0000"</f>
        <v>0,0000</v>
      </c>
      <c r="N13" s="28" t="s">
        <v>141</v>
      </c>
    </row>
    <row r="14" ht="12.75">
      <c r="B14" s="6" t="s">
        <v>31</v>
      </c>
    </row>
    <row r="15" spans="1:13" ht="15">
      <c r="A15" s="43" t="s">
        <v>212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2.75">
      <c r="A16" s="10" t="s">
        <v>13</v>
      </c>
      <c r="B16" s="8" t="s">
        <v>1743</v>
      </c>
      <c r="C16" s="8" t="s">
        <v>1744</v>
      </c>
      <c r="D16" s="8" t="s">
        <v>1745</v>
      </c>
      <c r="E16" s="8" t="str">
        <f>"0,5753"</f>
        <v>0,5753</v>
      </c>
      <c r="F16" s="30" t="s">
        <v>15</v>
      </c>
      <c r="G16" s="8" t="s">
        <v>351</v>
      </c>
      <c r="H16" s="11" t="s">
        <v>441</v>
      </c>
      <c r="I16" s="11" t="s">
        <v>441</v>
      </c>
      <c r="J16" s="11" t="s">
        <v>441</v>
      </c>
      <c r="K16" s="10"/>
      <c r="L16" s="10" t="s">
        <v>23</v>
      </c>
      <c r="M16" s="10" t="str">
        <f>"0,0000"</f>
        <v>0,0000</v>
      </c>
      <c r="N16" s="30" t="s">
        <v>37</v>
      </c>
    </row>
    <row r="17" ht="12.75">
      <c r="B17" s="6" t="s">
        <v>31</v>
      </c>
    </row>
    <row r="18" spans="1:13" ht="15">
      <c r="A18" s="43" t="s">
        <v>224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4" ht="12.75">
      <c r="A19" s="10" t="s">
        <v>24</v>
      </c>
      <c r="B19" s="8" t="s">
        <v>1746</v>
      </c>
      <c r="C19" s="8" t="s">
        <v>1747</v>
      </c>
      <c r="D19" s="8" t="s">
        <v>1748</v>
      </c>
      <c r="E19" s="8" t="str">
        <f>"0,5534"</f>
        <v>0,5534</v>
      </c>
      <c r="F19" s="30" t="s">
        <v>252</v>
      </c>
      <c r="G19" s="8" t="s">
        <v>1595</v>
      </c>
      <c r="H19" s="9" t="s">
        <v>315</v>
      </c>
      <c r="I19" s="9" t="s">
        <v>441</v>
      </c>
      <c r="J19" s="9" t="s">
        <v>314</v>
      </c>
      <c r="K19" s="10"/>
      <c r="L19" s="10" t="str">
        <f>"380,0"</f>
        <v>380,0</v>
      </c>
      <c r="M19" s="10" t="str">
        <f>"210,2920"</f>
        <v>210,2920</v>
      </c>
      <c r="N19" s="30" t="s">
        <v>37</v>
      </c>
    </row>
    <row r="20" ht="12.75">
      <c r="B20" s="6" t="s">
        <v>31</v>
      </c>
    </row>
    <row r="21" spans="1:13" ht="15">
      <c r="A21" s="43" t="s">
        <v>232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4" ht="12.75">
      <c r="A22" s="10" t="s">
        <v>24</v>
      </c>
      <c r="B22" s="8" t="s">
        <v>1749</v>
      </c>
      <c r="C22" s="8" t="s">
        <v>1750</v>
      </c>
      <c r="D22" s="8" t="s">
        <v>1751</v>
      </c>
      <c r="E22" s="8" t="str">
        <f>"0,5217"</f>
        <v>0,5217</v>
      </c>
      <c r="F22" s="30" t="s">
        <v>15</v>
      </c>
      <c r="G22" s="8" t="s">
        <v>267</v>
      </c>
      <c r="H22" s="9" t="s">
        <v>442</v>
      </c>
      <c r="I22" s="9" t="s">
        <v>1752</v>
      </c>
      <c r="J22" s="9" t="s">
        <v>443</v>
      </c>
      <c r="K22" s="11" t="s">
        <v>1753</v>
      </c>
      <c r="L22" s="10" t="str">
        <f>"420,0"</f>
        <v>420,0</v>
      </c>
      <c r="M22" s="10" t="str">
        <f>"219,1035"</f>
        <v>219,1035</v>
      </c>
      <c r="N22" s="30" t="s">
        <v>37</v>
      </c>
    </row>
    <row r="23" ht="12.75">
      <c r="B23" s="6" t="s">
        <v>31</v>
      </c>
    </row>
    <row r="24" ht="12.75">
      <c r="B24" s="6" t="s">
        <v>31</v>
      </c>
    </row>
    <row r="25" spans="2:4" ht="18">
      <c r="B25" s="6" t="s">
        <v>31</v>
      </c>
      <c r="C25" s="24" t="s">
        <v>236</v>
      </c>
      <c r="D25" s="24"/>
    </row>
    <row r="26" spans="2:4" ht="15">
      <c r="B26" s="6" t="s">
        <v>31</v>
      </c>
      <c r="C26" s="41" t="s">
        <v>242</v>
      </c>
      <c r="D26" s="41"/>
    </row>
    <row r="27" spans="2:4" ht="14.25">
      <c r="B27" s="6" t="s">
        <v>31</v>
      </c>
      <c r="C27" s="25"/>
      <c r="D27" s="25" t="s">
        <v>238</v>
      </c>
    </row>
    <row r="28" spans="2:7" ht="15">
      <c r="B28" s="6" t="s">
        <v>31</v>
      </c>
      <c r="C28" s="5" t="s">
        <v>1</v>
      </c>
      <c r="D28" s="5" t="s">
        <v>239</v>
      </c>
      <c r="E28" s="5" t="s">
        <v>240</v>
      </c>
      <c r="F28" s="5" t="s">
        <v>8</v>
      </c>
      <c r="G28" s="5" t="s">
        <v>1533</v>
      </c>
    </row>
    <row r="29" spans="2:7" ht="12.75">
      <c r="B29" s="6" t="s">
        <v>31</v>
      </c>
      <c r="C29" s="6" t="s">
        <v>1749</v>
      </c>
      <c r="D29" s="6" t="s">
        <v>238</v>
      </c>
      <c r="E29" s="7" t="s">
        <v>316</v>
      </c>
      <c r="F29" s="7" t="s">
        <v>443</v>
      </c>
      <c r="G29" s="7" t="s">
        <v>1754</v>
      </c>
    </row>
    <row r="30" spans="2:7" ht="12.75">
      <c r="B30" s="6" t="s">
        <v>31</v>
      </c>
      <c r="C30" s="6" t="s">
        <v>1738</v>
      </c>
      <c r="D30" s="6" t="s">
        <v>238</v>
      </c>
      <c r="E30" s="7" t="s">
        <v>61</v>
      </c>
      <c r="F30" s="7" t="s">
        <v>441</v>
      </c>
      <c r="G30" s="7" t="s">
        <v>1755</v>
      </c>
    </row>
    <row r="31" spans="2:7" ht="12.75">
      <c r="B31" s="6" t="s">
        <v>31</v>
      </c>
      <c r="C31" s="6" t="s">
        <v>1746</v>
      </c>
      <c r="D31" s="6" t="s">
        <v>238</v>
      </c>
      <c r="E31" s="7" t="s">
        <v>82</v>
      </c>
      <c r="F31" s="7" t="s">
        <v>314</v>
      </c>
      <c r="G31" s="7" t="s">
        <v>1756</v>
      </c>
    </row>
    <row r="32" ht="12.75">
      <c r="B32" s="6" t="s">
        <v>31</v>
      </c>
    </row>
  </sheetData>
  <sheetProtection/>
  <mergeCells count="18">
    <mergeCell ref="A15:M15"/>
    <mergeCell ref="A18:M18"/>
    <mergeCell ref="A21:M21"/>
    <mergeCell ref="B3:B4"/>
    <mergeCell ref="L3:L4"/>
    <mergeCell ref="M3:M4"/>
    <mergeCell ref="G3:G4"/>
    <mergeCell ref="H3:K3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2020-12-07T13:59:33Z</dcterms:modified>
  <cp:category/>
  <cp:version/>
  <cp:contentType/>
  <cp:contentStatus/>
</cp:coreProperties>
</file>