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5" windowWidth="28635" windowHeight="16200" tabRatio="969" activeTab="0"/>
  </bookViews>
  <sheets>
    <sheet name="СПР Народный 1 вес ДК" sheetId="1" r:id="rId1"/>
    <sheet name="СПР Народный 1 вес" sheetId="2" r:id="rId2"/>
    <sheet name="СПР Народный 1_2 веса" sheetId="3" r:id="rId3"/>
    <sheet name="ФЖД ЖД" sheetId="4" r:id="rId4"/>
    <sheet name="ФЖД ЖД Армейский жим" sheetId="5" r:id="rId5"/>
    <sheet name="ФЖД ЖД ДК 1_2" sheetId="6" r:id="rId6"/>
    <sheet name="ФЖД ЖД 1_2" sheetId="7" r:id="rId7"/>
    <sheet name="ФЖД ЖД Софт однослой" sheetId="8" r:id="rId8"/>
    <sheet name="ФЖД Жим многоповт. ДК" sheetId="9" r:id="rId9"/>
    <sheet name="ФЖД многоповт. жим" sheetId="10" r:id="rId10"/>
    <sheet name="ФЖД Жим многоповт 1_2 ДК" sheetId="11" r:id="rId11"/>
    <sheet name="ФЖД многоповт жим 1_2" sheetId="12" r:id="rId12"/>
    <sheet name="ФЖД Софт однослой жим многоповт" sheetId="13" r:id="rId13"/>
    <sheet name="ФЖД Армейский жим многоповт." sheetId="14" r:id="rId14"/>
    <sheet name="ФЖД Военный жим многоповт 1_2" sheetId="15" r:id="rId15"/>
  </sheets>
  <definedNames/>
  <calcPr fullCalcOnLoad="1"/>
</workbook>
</file>

<file path=xl/sharedStrings.xml><?xml version="1.0" encoding="utf-8"?>
<sst xmlns="http://schemas.openxmlformats.org/spreadsheetml/2006/main" count="704" uniqueCount="269">
  <si>
    <t>Место</t>
  </si>
  <si>
    <t>ФИО</t>
  </si>
  <si>
    <t>Возрастная группа
Дата рождения/Возраст</t>
  </si>
  <si>
    <t>Собственный 
вес</t>
  </si>
  <si>
    <t>Wilks</t>
  </si>
  <si>
    <t>Город/Страна</t>
  </si>
  <si>
    <t>Жим лёжа</t>
  </si>
  <si>
    <t>Сумма</t>
  </si>
  <si>
    <t>Очки</t>
  </si>
  <si>
    <t>Тренер</t>
  </si>
  <si>
    <t>Рек</t>
  </si>
  <si>
    <t>1</t>
  </si>
  <si>
    <t xml:space="preserve">RUS/Москва </t>
  </si>
  <si>
    <t>85,0</t>
  </si>
  <si>
    <t>90,0</t>
  </si>
  <si>
    <t>92,5</t>
  </si>
  <si>
    <t>40,0</t>
  </si>
  <si>
    <t>100,0</t>
  </si>
  <si>
    <t>105,0</t>
  </si>
  <si>
    <t>110,0</t>
  </si>
  <si>
    <t>2</t>
  </si>
  <si>
    <t>82,5</t>
  </si>
  <si>
    <t>42,5</t>
  </si>
  <si>
    <t>3</t>
  </si>
  <si>
    <t/>
  </si>
  <si>
    <t>ВЕСОВАЯ КАТЕГОРИЯ   52</t>
  </si>
  <si>
    <t>95,0</t>
  </si>
  <si>
    <t>80,0</t>
  </si>
  <si>
    <t>87,5</t>
  </si>
  <si>
    <t>75,0</t>
  </si>
  <si>
    <t>50,0</t>
  </si>
  <si>
    <t>52,5</t>
  </si>
  <si>
    <t>55,0</t>
  </si>
  <si>
    <t>51,60</t>
  </si>
  <si>
    <t xml:space="preserve">Самостоятельно </t>
  </si>
  <si>
    <t>102,5</t>
  </si>
  <si>
    <t>150,0</t>
  </si>
  <si>
    <t>155,0</t>
  </si>
  <si>
    <t>77,5</t>
  </si>
  <si>
    <t>35,0</t>
  </si>
  <si>
    <t>152,5</t>
  </si>
  <si>
    <t>135,0</t>
  </si>
  <si>
    <t>ВЕСОВАЯ КАТЕГОРИЯ   75</t>
  </si>
  <si>
    <t>125,0</t>
  </si>
  <si>
    <t>145,0</t>
  </si>
  <si>
    <t>165,0</t>
  </si>
  <si>
    <t>175,0</t>
  </si>
  <si>
    <t>112,5</t>
  </si>
  <si>
    <t>162,5</t>
  </si>
  <si>
    <t>74,30</t>
  </si>
  <si>
    <t>ВЕСОВАЯ КАТЕГОРИЯ   82.5</t>
  </si>
  <si>
    <t>195,0</t>
  </si>
  <si>
    <t>130,0</t>
  </si>
  <si>
    <t>140,0</t>
  </si>
  <si>
    <t>77,30</t>
  </si>
  <si>
    <t>ВЕСОВАЯ КАТЕГОРИЯ   90</t>
  </si>
  <si>
    <t>205,0</t>
  </si>
  <si>
    <t>89,30</t>
  </si>
  <si>
    <t xml:space="preserve">RUS/Иваново </t>
  </si>
  <si>
    <t>ВЕСОВАЯ КАТЕГОРИЯ   100</t>
  </si>
  <si>
    <t>270,0</t>
  </si>
  <si>
    <t>275,0</t>
  </si>
  <si>
    <t>215,0</t>
  </si>
  <si>
    <t>ВЕСОВАЯ КАТЕГОРИЯ   110</t>
  </si>
  <si>
    <t>Беков Кайрат</t>
  </si>
  <si>
    <t>Открытая (31.03.1971)/50</t>
  </si>
  <si>
    <t>101,80</t>
  </si>
  <si>
    <t xml:space="preserve">KAZ/Алматы </t>
  </si>
  <si>
    <t xml:space="preserve">Сайхудинов Н. </t>
  </si>
  <si>
    <t>ВЕСОВАЯ КАТЕГОРИЯ   125</t>
  </si>
  <si>
    <t xml:space="preserve">RUS/Рязань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</si>
  <si>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</si>
  <si>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</si>
  <si>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</si>
  <si>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</si>
  <si>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Мужчины </t>
  </si>
  <si>
    <t>100</t>
  </si>
  <si>
    <t>167,5</t>
  </si>
  <si>
    <t>99,40</t>
  </si>
  <si>
    <t>285,0</t>
  </si>
  <si>
    <t>290,0</t>
  </si>
  <si>
    <t>302,5</t>
  </si>
  <si>
    <t>98,90</t>
  </si>
  <si>
    <t>280,0</t>
  </si>
  <si>
    <t>ВЕСОВАЯ КАТЕГОРИЯ   140</t>
  </si>
  <si>
    <t>307,5</t>
  </si>
  <si>
    <t xml:space="preserve">RUS/Мурманск </t>
  </si>
  <si>
    <t>Результат</t>
  </si>
  <si>
    <t>81,40</t>
  </si>
  <si>
    <t>78,40</t>
  </si>
  <si>
    <t xml:space="preserve">RUS/Торжок </t>
  </si>
  <si>
    <t>Зайниев Азат</t>
  </si>
  <si>
    <t>Мастера 40-44 (09.09.1979)/41</t>
  </si>
  <si>
    <t>77,80</t>
  </si>
  <si>
    <t xml:space="preserve">RUS/Уфа </t>
  </si>
  <si>
    <t xml:space="preserve">Хасаншин А. </t>
  </si>
  <si>
    <t>87,50</t>
  </si>
  <si>
    <t>Плотников Герман</t>
  </si>
  <si>
    <t>94,00</t>
  </si>
  <si>
    <t xml:space="preserve">RUS/Сызрань </t>
  </si>
  <si>
    <t xml:space="preserve">Кучин И. </t>
  </si>
  <si>
    <t>Хасаншин Альберт</t>
  </si>
  <si>
    <t>Мастера 40-44 (16.05.1977)/43</t>
  </si>
  <si>
    <t>Омаров Магомед</t>
  </si>
  <si>
    <t>93,50</t>
  </si>
  <si>
    <t xml:space="preserve">RUS/Волгодонск </t>
  </si>
  <si>
    <t xml:space="preserve">RUS/Тула </t>
  </si>
  <si>
    <t>Савин Руслан</t>
  </si>
  <si>
    <t>Открытая (26.12.1978)/42</t>
  </si>
  <si>
    <t>134,30</t>
  </si>
  <si>
    <t xml:space="preserve">Никитин С. </t>
  </si>
  <si>
    <t xml:space="preserve">Результат </t>
  </si>
  <si>
    <t>52</t>
  </si>
  <si>
    <t xml:space="preserve">RUS/Брянск </t>
  </si>
  <si>
    <t>Волков Дмитрий</t>
  </si>
  <si>
    <t>Открытая (04.05.1982)/38</t>
  </si>
  <si>
    <t>78,50</t>
  </si>
  <si>
    <t xml:space="preserve">RUS/Тамбов </t>
  </si>
  <si>
    <t>Варава И.</t>
  </si>
  <si>
    <t xml:space="preserve">Ковалев С. </t>
  </si>
  <si>
    <t>96,40</t>
  </si>
  <si>
    <t xml:space="preserve">RUS/Сергиев Посад </t>
  </si>
  <si>
    <t xml:space="preserve">RUS/Собинка </t>
  </si>
  <si>
    <t>Gloss</t>
  </si>
  <si>
    <t>Акулич Александр</t>
  </si>
  <si>
    <t>Открытая (17.11.1981)/39</t>
  </si>
  <si>
    <t>90,90</t>
  </si>
  <si>
    <t>Самойлов Владимир</t>
  </si>
  <si>
    <t>Открытая (09.05.1991)/29</t>
  </si>
  <si>
    <t>105,20</t>
  </si>
  <si>
    <t xml:space="preserve">RUS/Кемерово </t>
  </si>
  <si>
    <t>312,5</t>
  </si>
  <si>
    <t xml:space="preserve">RUS/Лосино-Петровский </t>
  </si>
  <si>
    <t xml:space="preserve">Gloss </t>
  </si>
  <si>
    <t>ВМТ СПР в рамках Чемпионата Европы IPL
СПР Народный жим 1 вес ДК
Долгопрудный/Московская область, 16-18 апреля 2021 года</t>
  </si>
  <si>
    <t>Народный жим</t>
  </si>
  <si>
    <t>Тоннаж</t>
  </si>
  <si>
    <t>Вес</t>
  </si>
  <si>
    <t>Повторы</t>
  </si>
  <si>
    <t>Крикунов Юрий</t>
  </si>
  <si>
    <t>Мастера 60+ (25.05.1957)/63</t>
  </si>
  <si>
    <t xml:space="preserve">RUS/Владивосток </t>
  </si>
  <si>
    <t>Шишков С.</t>
  </si>
  <si>
    <t>Минькач Игорь</t>
  </si>
  <si>
    <t>Открытая (05.11.1989)/31</t>
  </si>
  <si>
    <t>Мастера 40-49 (08.05.1976)/44</t>
  </si>
  <si>
    <t>Мастера 40-49 (16.05.1977)/43</t>
  </si>
  <si>
    <t>Мастера 50-59 (30.05.1963)/57</t>
  </si>
  <si>
    <t>Шиков Александр</t>
  </si>
  <si>
    <t>Открытая (06.09.1969)/51</t>
  </si>
  <si>
    <t>110,00</t>
  </si>
  <si>
    <t xml:space="preserve">RUS/Кулебаки </t>
  </si>
  <si>
    <t>Мастера 50-59 (31.03.1971)/50</t>
  </si>
  <si>
    <t>Мастера 40-49 (26.12.1978)/42</t>
  </si>
  <si>
    <t>ВМТ СПР в рамках Чемпионата Европы IPL
СПР Народный жим 1 вес
Долгопрудный/Московская область, 16-18 апреля 2021 года</t>
  </si>
  <si>
    <t>Киселев Лев</t>
  </si>
  <si>
    <t>Юноши 13-19 (28.09.2005)/15</t>
  </si>
  <si>
    <t xml:space="preserve">Рассказов Г. </t>
  </si>
  <si>
    <t>Открытая (28.09.2005)/15</t>
  </si>
  <si>
    <t>Асланян Эрик</t>
  </si>
  <si>
    <t>Юноши 13-19 (30.03.2004)/17</t>
  </si>
  <si>
    <t>Яковлев Юрий</t>
  </si>
  <si>
    <t>Открытая (01.06.1973)/47</t>
  </si>
  <si>
    <t>76,30</t>
  </si>
  <si>
    <t>Открытая (30.03.2004)/17</t>
  </si>
  <si>
    <t>Подкатнов Юрий</t>
  </si>
  <si>
    <t>Открытая (09.12.1981)/39</t>
  </si>
  <si>
    <t>83,40</t>
  </si>
  <si>
    <t xml:space="preserve">RUS/Коломна </t>
  </si>
  <si>
    <t>Ларин Павел</t>
  </si>
  <si>
    <t>Открытая (23.06.1975)/45</t>
  </si>
  <si>
    <t>Рассказов Геннадий</t>
  </si>
  <si>
    <t>Мастера 50-59 (04.09.1966)/54</t>
  </si>
  <si>
    <t>Кирилкин Сергей</t>
  </si>
  <si>
    <t>Открытая (09.10.1979)/41</t>
  </si>
  <si>
    <t>91,80</t>
  </si>
  <si>
    <t xml:space="preserve">Калинин А. </t>
  </si>
  <si>
    <t>Мельников Андрей</t>
  </si>
  <si>
    <t>Открытая (20.02.1986)/35</t>
  </si>
  <si>
    <t>98,40</t>
  </si>
  <si>
    <t>Макаркин Илья</t>
  </si>
  <si>
    <t>Открытая (01.11.1993)/27</t>
  </si>
  <si>
    <t>123,10</t>
  </si>
  <si>
    <t xml:space="preserve">Весовая </t>
  </si>
  <si>
    <t>82.5</t>
  </si>
  <si>
    <t>8525,0</t>
  </si>
  <si>
    <t>5796,5737</t>
  </si>
  <si>
    <t>9342,5</t>
  </si>
  <si>
    <t>5655,4825</t>
  </si>
  <si>
    <t>2992,5</t>
  </si>
  <si>
    <t>2916,7897</t>
  </si>
  <si>
    <t>ВМТ СПР в рамках Чемпионата Европы IPL
СПР Народный жим 1/2 веса
Долгопрудный/Московская область, 16-18 апреля 2021 года</t>
  </si>
  <si>
    <t>Салов Павел</t>
  </si>
  <si>
    <t>Мастера 60+ (11.08.1954)/66</t>
  </si>
  <si>
    <t>Быков Николай</t>
  </si>
  <si>
    <t>Мастера 60+ (29.08.1956)/64</t>
  </si>
  <si>
    <t>84,60</t>
  </si>
  <si>
    <t xml:space="preserve">RUS/Верхнеднепровский </t>
  </si>
  <si>
    <t>Макаров Владимир</t>
  </si>
  <si>
    <t>Жим стоя</t>
  </si>
  <si>
    <t>ВЕСОВАЯ КАТЕГОРИЯ   70</t>
  </si>
  <si>
    <t>ВЕСОВАЯ КАТЕГОРИЯ   80</t>
  </si>
  <si>
    <t>Wilks/Залуцкий</t>
  </si>
  <si>
    <t>Многоповторный жим</t>
  </si>
  <si>
    <t>Чемпионат Европы ФЖД
ФЖД Любители двоеборье
Долгопрудный/Московская область, 16-18 апреля 2021 года</t>
  </si>
  <si>
    <t xml:space="preserve"> Многоповторный жим</t>
  </si>
  <si>
    <t>Смирнов Иван</t>
  </si>
  <si>
    <t>Открытая (07.07.1984)/36</t>
  </si>
  <si>
    <t xml:space="preserve">RUS/Грязовец </t>
  </si>
  <si>
    <t>Грицак Александр</t>
  </si>
  <si>
    <t>Открытая (07.04.1963)/58</t>
  </si>
  <si>
    <t xml:space="preserve">RUS/Качканар </t>
  </si>
  <si>
    <t>Остапенко Кирилл</t>
  </si>
  <si>
    <t>Мастера 40-44 (19.10.1977)/43</t>
  </si>
  <si>
    <t>97,80</t>
  </si>
  <si>
    <t xml:space="preserve">RUS/Санкт-Петербург </t>
  </si>
  <si>
    <t>Мастера 55-59 (07.04.1963)/58</t>
  </si>
  <si>
    <t>Чемпионат Европы ФЖД
ФЖД Армейский жим двоеборье
Долгопрудный/Московская область, 16-18 апреля 2021 года</t>
  </si>
  <si>
    <t>Кублицкий Александр</t>
  </si>
  <si>
    <t>Открытая (18.09.1981)/39</t>
  </si>
  <si>
    <t>105,50</t>
  </si>
  <si>
    <t>Чемпионат Европы ФЖД
ФЖД Любители с ДК двоеборье 1/2 веса
Долгопрудный/Московская область, 16-18 апреля 2021 года</t>
  </si>
  <si>
    <t>Чемпионат Европы ФЖД
ФЖД Любители двоеборье 1/2 веса
Долгопрудный/Московская область, 16-18 апреля 2021 года</t>
  </si>
  <si>
    <t>Юсупов Анвар</t>
  </si>
  <si>
    <t>Открытая (06.03.1983)/38</t>
  </si>
  <si>
    <t>Овчинников Евгений</t>
  </si>
  <si>
    <t>Мастера 50-54 (15.11.1970)/50</t>
  </si>
  <si>
    <t>97,00</t>
  </si>
  <si>
    <t xml:space="preserve">RUS/Кушва </t>
  </si>
  <si>
    <t>Мастера 70+ (25.07.1946)/74</t>
  </si>
  <si>
    <t>Чемпионат Европы ФЖД
ФЖД Софт экипировка однослойная двоеборье
Долгопрудный/Московская область, 16-18 апреля 2021 года</t>
  </si>
  <si>
    <t xml:space="preserve"> Самостоятельно </t>
  </si>
  <si>
    <t>Капитонов Юрий</t>
  </si>
  <si>
    <t>Мастера 60-64 (15.11.1957)/63</t>
  </si>
  <si>
    <t>103,00</t>
  </si>
  <si>
    <t>ВЕСОВАЯ КАТЕГОРИЯ   130</t>
  </si>
  <si>
    <t>Зиновьев Александр</t>
  </si>
  <si>
    <t>Мастера 40-44 (11.05.1976)/44</t>
  </si>
  <si>
    <t>121,90</t>
  </si>
  <si>
    <t>Капитонов Ю.</t>
  </si>
  <si>
    <t>Чемпионат Европы ФЖД
ФЖД Любители с ДК многоповторный жим
Долгопрудный/Московская область, 16-18 апреля 2021 года</t>
  </si>
  <si>
    <t>Чемпионат Европы ФЖД
ФЖД Любители многоповторный жим
Долгопрудный/Московская область, 16-18 апреля 2021 года</t>
  </si>
  <si>
    <t>Мн.повт. жим</t>
  </si>
  <si>
    <t>Чемпионат Европы ФЖД
ФЖД Любители с ДК многоповторный жим 1/2 веса
Долгопрудный/Московская область, 16-18 апреля 2021 года</t>
  </si>
  <si>
    <t>Чемпионат Европы ФЖД
ФЖД Любители многоповторный жим 1/2 веса
Долгопрудный/Московская область, 16-18 апреля 2021 года</t>
  </si>
  <si>
    <t>Ткачев Виктор</t>
  </si>
  <si>
    <t>Мастера 70+ (15.11.1944)/76</t>
  </si>
  <si>
    <t>68,30</t>
  </si>
  <si>
    <t xml:space="preserve">RUS/Монино </t>
  </si>
  <si>
    <t>Гаршин Александр</t>
  </si>
  <si>
    <t>Мастера 65-69 (29.06.1954)/66</t>
  </si>
  <si>
    <t>95,40</t>
  </si>
  <si>
    <t>Чемпионат Европы ФЖД
ФЖД Софт экипировка однослойная жим многоповторный
Долгопрудный/Московская область, 16-18 апреля 2021 года</t>
  </si>
  <si>
    <t>Арефьев Алексей</t>
  </si>
  <si>
    <t>Открытая (24.03.1972)/49</t>
  </si>
  <si>
    <t xml:space="preserve">RUS/Новокузнецк </t>
  </si>
  <si>
    <t xml:space="preserve">Епихин А. </t>
  </si>
  <si>
    <t>Мастера 45-49 (24.03.1972)/49</t>
  </si>
  <si>
    <t>Чемпионат Европы ФЖД
ФЖД Армейский жим многоповторный
Долгопрудный/Московская область, 16-18 апреля 2021 года</t>
  </si>
  <si>
    <t>Пустовой Эдуард</t>
  </si>
  <si>
    <t>Открытая (17.07.1978)/42</t>
  </si>
  <si>
    <t>91,60</t>
  </si>
  <si>
    <t>Мастера 40-44 (17.07.1978)/42</t>
  </si>
  <si>
    <t>Шмаков Сергей</t>
  </si>
  <si>
    <t>Мастера 55-59 (12.03.1965)/56</t>
  </si>
  <si>
    <t xml:space="preserve">RUS/Судогда </t>
  </si>
  <si>
    <t>Чемпионат Европы ФЖД
ФЖД Военный жим многоповторный 1/2 веса
Долгопрудный/Московская область, 16-18 апреля 2021 года</t>
  </si>
  <si>
    <t>Доброжанский Вячеслав</t>
  </si>
  <si>
    <t>Мастера 70+ (21.02.1934)/87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</si>
</sst>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2.00390625" style="4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7.25390625" style="4" bestFit="1" customWidth="1"/>
    <col min="7" max="7" width="9.125" style="5" customWidth="1"/>
    <col min="8" max="8" width="9.125" style="27" customWidth="1"/>
    <col min="9" max="9" width="7.875" style="5" bestFit="1" customWidth="1"/>
    <col min="10" max="10" width="9.375" style="5" bestFit="1" customWidth="1"/>
    <col min="11" max="11" width="18.25390625" style="4" customWidth="1"/>
    <col min="12" max="16384" width="9.125" style="3" customWidth="1"/>
  </cols>
  <sheetData>
    <row r="1" spans="1:11" s="2" customFormat="1" ht="28.5" customHeight="1">
      <c r="A1" s="33" t="s">
        <v>134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123</v>
      </c>
      <c r="F3" s="45" t="s">
        <v>5</v>
      </c>
      <c r="G3" s="45" t="s">
        <v>135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42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139</v>
      </c>
      <c r="C6" s="6" t="s">
        <v>140</v>
      </c>
      <c r="D6" s="6" t="s">
        <v>49</v>
      </c>
      <c r="E6" s="6" t="str">
        <f>"0,6934"</f>
        <v>0,6934</v>
      </c>
      <c r="F6" s="6" t="s">
        <v>141</v>
      </c>
      <c r="G6" s="7" t="s">
        <v>29</v>
      </c>
      <c r="H6" s="26">
        <v>12</v>
      </c>
      <c r="I6" s="7" t="str">
        <f>"900,0"</f>
        <v>900,0</v>
      </c>
      <c r="J6" s="7" t="str">
        <f>"886,7253"</f>
        <v>886,7253</v>
      </c>
      <c r="K6" s="6" t="s">
        <v>142</v>
      </c>
    </row>
    <row r="7" ht="12.75">
      <c r="B7" s="4" t="s">
        <v>24</v>
      </c>
    </row>
    <row r="8" spans="1:8" ht="15">
      <c r="A8" s="51" t="s">
        <v>50</v>
      </c>
      <c r="B8" s="51"/>
      <c r="C8" s="51"/>
      <c r="D8" s="51"/>
      <c r="E8" s="51"/>
      <c r="F8" s="51"/>
      <c r="G8" s="51"/>
      <c r="H8" s="51"/>
    </row>
    <row r="9" spans="1:11" ht="12.75">
      <c r="A9" s="7" t="s">
        <v>11</v>
      </c>
      <c r="B9" s="6" t="s">
        <v>143</v>
      </c>
      <c r="C9" s="6" t="s">
        <v>144</v>
      </c>
      <c r="D9" s="6" t="s">
        <v>88</v>
      </c>
      <c r="E9" s="6" t="str">
        <f>"0,6503"</f>
        <v>0,6503</v>
      </c>
      <c r="F9" s="6" t="s">
        <v>90</v>
      </c>
      <c r="G9" s="7" t="s">
        <v>21</v>
      </c>
      <c r="H9" s="26">
        <v>27</v>
      </c>
      <c r="I9" s="7" t="str">
        <f>"2227,5"</f>
        <v>2227,5</v>
      </c>
      <c r="J9" s="7" t="str">
        <f>"1448,4319"</f>
        <v>1448,4319</v>
      </c>
      <c r="K9" s="6" t="s">
        <v>34</v>
      </c>
    </row>
    <row r="10" ht="12.75">
      <c r="B10" s="4" t="s">
        <v>24</v>
      </c>
    </row>
    <row r="11" spans="1:8" ht="15">
      <c r="A11" s="51" t="s">
        <v>59</v>
      </c>
      <c r="B11" s="51"/>
      <c r="C11" s="51"/>
      <c r="D11" s="51"/>
      <c r="E11" s="51"/>
      <c r="F11" s="51"/>
      <c r="G11" s="51"/>
      <c r="H11" s="51"/>
    </row>
    <row r="12" spans="1:11" ht="12.75">
      <c r="A12" s="15" t="s">
        <v>11</v>
      </c>
      <c r="B12" s="14" t="s">
        <v>97</v>
      </c>
      <c r="C12" s="14" t="s">
        <v>145</v>
      </c>
      <c r="D12" s="14" t="s">
        <v>98</v>
      </c>
      <c r="E12" s="14" t="str">
        <f>"0,5980"</f>
        <v>0,5980</v>
      </c>
      <c r="F12" s="14" t="s">
        <v>99</v>
      </c>
      <c r="G12" s="15" t="s">
        <v>26</v>
      </c>
      <c r="H12" s="28">
        <v>26</v>
      </c>
      <c r="I12" s="15" t="str">
        <f>"2470,0"</f>
        <v>2470,0</v>
      </c>
      <c r="J12" s="15" t="str">
        <f>"1540,5736"</f>
        <v>1540,5736</v>
      </c>
      <c r="K12" s="14" t="s">
        <v>100</v>
      </c>
    </row>
    <row r="13" spans="1:11" ht="12.75">
      <c r="A13" s="19" t="s">
        <v>20</v>
      </c>
      <c r="B13" s="18" t="s">
        <v>101</v>
      </c>
      <c r="C13" s="18" t="s">
        <v>146</v>
      </c>
      <c r="D13" s="18" t="s">
        <v>98</v>
      </c>
      <c r="E13" s="18" t="str">
        <f>"0,5980"</f>
        <v>0,5980</v>
      </c>
      <c r="F13" s="18" t="s">
        <v>94</v>
      </c>
      <c r="G13" s="19" t="s">
        <v>26</v>
      </c>
      <c r="H13" s="29">
        <v>20</v>
      </c>
      <c r="I13" s="19" t="str">
        <f>"1900,0"</f>
        <v>1900,0</v>
      </c>
      <c r="J13" s="19" t="str">
        <f>"1171,4222"</f>
        <v>1171,4222</v>
      </c>
      <c r="K13" s="18" t="s">
        <v>34</v>
      </c>
    </row>
    <row r="14" spans="1:11" ht="12.75">
      <c r="A14" s="17" t="s">
        <v>11</v>
      </c>
      <c r="B14" s="16" t="s">
        <v>103</v>
      </c>
      <c r="C14" s="16" t="s">
        <v>147</v>
      </c>
      <c r="D14" s="16" t="s">
        <v>104</v>
      </c>
      <c r="E14" s="16" t="str">
        <f>"0,5997"</f>
        <v>0,5997</v>
      </c>
      <c r="F14" s="16" t="s">
        <v>12</v>
      </c>
      <c r="G14" s="17" t="s">
        <v>26</v>
      </c>
      <c r="H14" s="30">
        <v>24</v>
      </c>
      <c r="I14" s="17" t="str">
        <f>"2280,0"</f>
        <v>2280,0</v>
      </c>
      <c r="J14" s="17" t="str">
        <f>"1733,6122"</f>
        <v>1733,6122</v>
      </c>
      <c r="K14" s="16" t="s">
        <v>34</v>
      </c>
    </row>
    <row r="15" ht="12.75">
      <c r="B15" s="4" t="s">
        <v>24</v>
      </c>
    </row>
    <row r="16" spans="1:8" ht="15">
      <c r="A16" s="51" t="s">
        <v>63</v>
      </c>
      <c r="B16" s="51"/>
      <c r="C16" s="51"/>
      <c r="D16" s="51"/>
      <c r="E16" s="51"/>
      <c r="F16" s="51"/>
      <c r="G16" s="51"/>
      <c r="H16" s="51"/>
    </row>
    <row r="17" spans="1:11" ht="12.75">
      <c r="A17" s="15" t="s">
        <v>11</v>
      </c>
      <c r="B17" s="14" t="s">
        <v>148</v>
      </c>
      <c r="C17" s="14" t="s">
        <v>149</v>
      </c>
      <c r="D17" s="14" t="s">
        <v>150</v>
      </c>
      <c r="E17" s="14" t="str">
        <f>"0,5625"</f>
        <v>0,5625</v>
      </c>
      <c r="F17" s="14" t="s">
        <v>151</v>
      </c>
      <c r="G17" s="15" t="s">
        <v>19</v>
      </c>
      <c r="H17" s="28">
        <v>36</v>
      </c>
      <c r="I17" s="15" t="str">
        <f>"3960,0"</f>
        <v>3960,0</v>
      </c>
      <c r="J17" s="15" t="str">
        <f>"2227,5000"</f>
        <v>2227,5000</v>
      </c>
      <c r="K17" s="14" t="s">
        <v>34</v>
      </c>
    </row>
    <row r="18" spans="1:11" ht="12.75">
      <c r="A18" s="19" t="s">
        <v>20</v>
      </c>
      <c r="B18" s="18" t="s">
        <v>64</v>
      </c>
      <c r="C18" s="18" t="s">
        <v>65</v>
      </c>
      <c r="D18" s="18" t="s">
        <v>66</v>
      </c>
      <c r="E18" s="18" t="str">
        <f>"0,5772"</f>
        <v>0,5772</v>
      </c>
      <c r="F18" s="18" t="s">
        <v>67</v>
      </c>
      <c r="G18" s="19" t="s">
        <v>35</v>
      </c>
      <c r="H18" s="29">
        <v>17</v>
      </c>
      <c r="I18" s="19" t="str">
        <f>"1742,5"</f>
        <v>1742,5</v>
      </c>
      <c r="J18" s="19" t="str">
        <f>"1005,7710"</f>
        <v>1005,7710</v>
      </c>
      <c r="K18" s="18" t="s">
        <v>68</v>
      </c>
    </row>
    <row r="19" spans="1:11" ht="12.75">
      <c r="A19" s="17" t="s">
        <v>11</v>
      </c>
      <c r="B19" s="16" t="s">
        <v>64</v>
      </c>
      <c r="C19" s="16" t="s">
        <v>152</v>
      </c>
      <c r="D19" s="16" t="s">
        <v>66</v>
      </c>
      <c r="E19" s="16" t="str">
        <f>"0,5772"</f>
        <v>0,5772</v>
      </c>
      <c r="F19" s="16" t="s">
        <v>67</v>
      </c>
      <c r="G19" s="17" t="s">
        <v>35</v>
      </c>
      <c r="H19" s="30">
        <v>17</v>
      </c>
      <c r="I19" s="17" t="str">
        <f>"1742,5"</f>
        <v>1742,5</v>
      </c>
      <c r="J19" s="17" t="str">
        <f>"1136,5212"</f>
        <v>1136,5212</v>
      </c>
      <c r="K19" s="16" t="s">
        <v>68</v>
      </c>
    </row>
    <row r="20" ht="12.75">
      <c r="B20" s="4" t="s">
        <v>24</v>
      </c>
    </row>
    <row r="21" spans="1:8" ht="15">
      <c r="A21" s="51" t="s">
        <v>84</v>
      </c>
      <c r="B21" s="51"/>
      <c r="C21" s="51"/>
      <c r="D21" s="51"/>
      <c r="E21" s="51"/>
      <c r="F21" s="51"/>
      <c r="G21" s="51"/>
      <c r="H21" s="51"/>
    </row>
    <row r="22" spans="1:11" ht="12.75">
      <c r="A22" s="15" t="s">
        <v>11</v>
      </c>
      <c r="B22" s="14" t="s">
        <v>107</v>
      </c>
      <c r="C22" s="14" t="s">
        <v>108</v>
      </c>
      <c r="D22" s="14" t="s">
        <v>109</v>
      </c>
      <c r="E22" s="14" t="str">
        <f>"0,5361"</f>
        <v>0,5361</v>
      </c>
      <c r="F22" s="14" t="s">
        <v>12</v>
      </c>
      <c r="G22" s="15" t="s">
        <v>41</v>
      </c>
      <c r="H22" s="28">
        <v>24</v>
      </c>
      <c r="I22" s="15" t="str">
        <f>"3240,0"</f>
        <v>3240,0</v>
      </c>
      <c r="J22" s="15" t="str">
        <f>"1737,0937"</f>
        <v>1737,0937</v>
      </c>
      <c r="K22" s="14" t="s">
        <v>110</v>
      </c>
    </row>
    <row r="23" spans="1:11" ht="12.75">
      <c r="A23" s="17" t="s">
        <v>11</v>
      </c>
      <c r="B23" s="16" t="s">
        <v>107</v>
      </c>
      <c r="C23" s="16" t="s">
        <v>153</v>
      </c>
      <c r="D23" s="16" t="s">
        <v>109</v>
      </c>
      <c r="E23" s="16" t="str">
        <f>"0,5361"</f>
        <v>0,5361</v>
      </c>
      <c r="F23" s="16" t="s">
        <v>12</v>
      </c>
      <c r="G23" s="17" t="s">
        <v>41</v>
      </c>
      <c r="H23" s="30">
        <v>24</v>
      </c>
      <c r="I23" s="17" t="str">
        <f>"3240,0"</f>
        <v>3240,0</v>
      </c>
      <c r="J23" s="17" t="str">
        <f>"1771,8356"</f>
        <v>1771,8356</v>
      </c>
      <c r="K23" s="16" t="s">
        <v>110</v>
      </c>
    </row>
    <row r="24" ht="12.75">
      <c r="B24" s="4" t="s">
        <v>24</v>
      </c>
    </row>
  </sheetData>
  <sheetProtection/>
  <mergeCells count="16">
    <mergeCell ref="A8:H8"/>
    <mergeCell ref="A11:H11"/>
    <mergeCell ref="A16:H16"/>
    <mergeCell ref="A21:H21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1.375" style="4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20.875" style="4" customWidth="1"/>
    <col min="7" max="7" width="13.875" style="5" customWidth="1"/>
    <col min="8" max="8" width="13.875" style="27" customWidth="1"/>
    <col min="9" max="9" width="7.875" style="5" bestFit="1" customWidth="1"/>
    <col min="10" max="10" width="9.375" style="5" bestFit="1" customWidth="1"/>
    <col min="11" max="11" width="21.375" style="4" customWidth="1"/>
    <col min="12" max="16384" width="9.125" style="3" customWidth="1"/>
  </cols>
  <sheetData>
    <row r="1" spans="1:11" s="2" customFormat="1" ht="28.5" customHeight="1">
      <c r="A1" s="33" t="s">
        <v>241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242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59</v>
      </c>
      <c r="B5" s="48"/>
      <c r="C5" s="48"/>
      <c r="D5" s="48"/>
      <c r="E5" s="48"/>
      <c r="F5" s="48"/>
      <c r="G5" s="48"/>
      <c r="H5" s="48"/>
    </row>
    <row r="6" spans="1:11" ht="12.75">
      <c r="A6" s="15" t="s">
        <v>11</v>
      </c>
      <c r="B6" s="14" t="s">
        <v>209</v>
      </c>
      <c r="C6" s="14" t="s">
        <v>210</v>
      </c>
      <c r="D6" s="14" t="s">
        <v>78</v>
      </c>
      <c r="E6" s="14" t="str">
        <f>"0,6101"</f>
        <v>0,6101</v>
      </c>
      <c r="F6" s="14" t="s">
        <v>211</v>
      </c>
      <c r="G6" s="15" t="s">
        <v>17</v>
      </c>
      <c r="H6" s="28">
        <v>21</v>
      </c>
      <c r="I6" s="15" t="str">
        <f>"2100,0"</f>
        <v>2100,0</v>
      </c>
      <c r="J6" s="15" t="str">
        <f>"1281,2099"</f>
        <v>1281,2099</v>
      </c>
      <c r="K6" s="14" t="s">
        <v>34</v>
      </c>
    </row>
    <row r="7" spans="1:11" ht="12.75">
      <c r="A7" s="17" t="s">
        <v>11</v>
      </c>
      <c r="B7" s="16" t="s">
        <v>209</v>
      </c>
      <c r="C7" s="16" t="s">
        <v>216</v>
      </c>
      <c r="D7" s="16" t="s">
        <v>78</v>
      </c>
      <c r="E7" s="16" t="str">
        <f>"0,6101"</f>
        <v>0,6101</v>
      </c>
      <c r="F7" s="16" t="s">
        <v>211</v>
      </c>
      <c r="G7" s="17" t="s">
        <v>17</v>
      </c>
      <c r="H7" s="30">
        <v>21</v>
      </c>
      <c r="I7" s="17" t="str">
        <f>"2100,0"</f>
        <v>2100,0</v>
      </c>
      <c r="J7" s="17" t="str">
        <f>"1693,7595"</f>
        <v>1693,7595</v>
      </c>
      <c r="K7" s="16" t="s">
        <v>34</v>
      </c>
    </row>
    <row r="8" ht="12.75">
      <c r="B8" s="4" t="s">
        <v>24</v>
      </c>
    </row>
  </sheetData>
  <sheetProtection/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9.75390625" style="4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5.375" style="4" bestFit="1" customWidth="1"/>
    <col min="7" max="7" width="12.375" style="5" customWidth="1"/>
    <col min="8" max="8" width="12.375" style="27" customWidth="1"/>
    <col min="9" max="9" width="11.125" style="5" customWidth="1"/>
    <col min="10" max="10" width="9.375" style="5" bestFit="1" customWidth="1"/>
    <col min="11" max="11" width="17.125" style="4" customWidth="1"/>
    <col min="12" max="16384" width="9.125" style="3" customWidth="1"/>
  </cols>
  <sheetData>
    <row r="1" spans="1:11" s="2" customFormat="1" ht="28.5" customHeight="1">
      <c r="A1" s="33" t="s">
        <v>243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201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91</v>
      </c>
      <c r="C6" s="6" t="s">
        <v>92</v>
      </c>
      <c r="D6" s="6" t="s">
        <v>93</v>
      </c>
      <c r="E6" s="6" t="str">
        <f>"0,6951"</f>
        <v>0,6951</v>
      </c>
      <c r="F6" s="6" t="s">
        <v>94</v>
      </c>
      <c r="G6" s="7" t="s">
        <v>16</v>
      </c>
      <c r="H6" s="26">
        <v>55</v>
      </c>
      <c r="I6" s="7" t="str">
        <f>"2200,0"</f>
        <v>2200,0</v>
      </c>
      <c r="J6" s="7" t="str">
        <f>"1536,8661"</f>
        <v>1536,8661</v>
      </c>
      <c r="K6" s="6" t="s">
        <v>95</v>
      </c>
    </row>
    <row r="7" ht="12.75">
      <c r="B7" s="4" t="s">
        <v>24</v>
      </c>
    </row>
    <row r="8" ht="12.75">
      <c r="B8" s="4" t="s">
        <v>24</v>
      </c>
    </row>
  </sheetData>
  <sheetProtection/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9.1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5.375" style="4" bestFit="1" customWidth="1"/>
    <col min="7" max="7" width="11.25390625" style="5" customWidth="1"/>
    <col min="8" max="8" width="12.75390625" style="27" customWidth="1"/>
    <col min="9" max="9" width="7.875" style="5" bestFit="1" customWidth="1"/>
    <col min="10" max="10" width="9.375" style="5" bestFit="1" customWidth="1"/>
    <col min="11" max="11" width="20.875" style="4" customWidth="1"/>
    <col min="12" max="16384" width="9.125" style="3" customWidth="1"/>
  </cols>
  <sheetData>
    <row r="1" spans="1:11" s="2" customFormat="1" ht="28.5" customHeight="1">
      <c r="A1" s="33" t="s">
        <v>244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200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245</v>
      </c>
      <c r="C6" s="6" t="s">
        <v>246</v>
      </c>
      <c r="D6" s="6" t="s">
        <v>247</v>
      </c>
      <c r="E6" s="6" t="str">
        <f>"0,7638"</f>
        <v>0,7638</v>
      </c>
      <c r="F6" s="6" t="s">
        <v>248</v>
      </c>
      <c r="G6" s="7" t="s">
        <v>39</v>
      </c>
      <c r="H6" s="26">
        <v>32</v>
      </c>
      <c r="I6" s="7" t="str">
        <f>"1120,0"</f>
        <v>1120,0</v>
      </c>
      <c r="J6" s="7" t="str">
        <f>"1659,5847"</f>
        <v>1659,5847</v>
      </c>
      <c r="K6" s="6" t="s">
        <v>34</v>
      </c>
    </row>
    <row r="7" ht="12.75">
      <c r="B7" s="4" t="s">
        <v>24</v>
      </c>
    </row>
    <row r="8" spans="1:8" ht="15">
      <c r="A8" s="51" t="s">
        <v>59</v>
      </c>
      <c r="B8" s="51"/>
      <c r="C8" s="51"/>
      <c r="D8" s="51"/>
      <c r="E8" s="51"/>
      <c r="F8" s="51"/>
      <c r="G8" s="51"/>
      <c r="H8" s="51"/>
    </row>
    <row r="9" spans="1:11" ht="12.75">
      <c r="A9" s="15" t="s">
        <v>11</v>
      </c>
      <c r="B9" s="14" t="s">
        <v>225</v>
      </c>
      <c r="C9" s="14" t="s">
        <v>226</v>
      </c>
      <c r="D9" s="14" t="s">
        <v>227</v>
      </c>
      <c r="E9" s="14" t="str">
        <f>"0,6163"</f>
        <v>0,6163</v>
      </c>
      <c r="F9" s="14" t="s">
        <v>228</v>
      </c>
      <c r="G9" s="15" t="s">
        <v>30</v>
      </c>
      <c r="H9" s="28">
        <v>66</v>
      </c>
      <c r="I9" s="15" t="str">
        <f>"3300,0"</f>
        <v>3300,0</v>
      </c>
      <c r="J9" s="15" t="str">
        <f>"2338,8585"</f>
        <v>2338,8585</v>
      </c>
      <c r="K9" s="14" t="s">
        <v>34</v>
      </c>
    </row>
    <row r="10" spans="1:11" ht="12.75">
      <c r="A10" s="17" t="s">
        <v>11</v>
      </c>
      <c r="B10" s="16" t="s">
        <v>249</v>
      </c>
      <c r="C10" s="16" t="s">
        <v>250</v>
      </c>
      <c r="D10" s="16" t="s">
        <v>251</v>
      </c>
      <c r="E10" s="16" t="str">
        <f>"0,6209"</f>
        <v>0,6209</v>
      </c>
      <c r="F10" s="16" t="s">
        <v>248</v>
      </c>
      <c r="G10" s="17" t="s">
        <v>30</v>
      </c>
      <c r="H10" s="30">
        <v>63</v>
      </c>
      <c r="I10" s="17" t="str">
        <f>"3150,0"</f>
        <v>3150,0</v>
      </c>
      <c r="J10" s="17" t="str">
        <f>"3060,8817"</f>
        <v>3060,8817</v>
      </c>
      <c r="K10" s="16" t="s">
        <v>34</v>
      </c>
    </row>
    <row r="11" ht="12.75">
      <c r="B11" s="4" t="s">
        <v>24</v>
      </c>
    </row>
    <row r="12" ht="12.75">
      <c r="B12" s="4" t="s">
        <v>24</v>
      </c>
    </row>
  </sheetData>
  <sheetProtection/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7.253906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9.25390625" style="4" bestFit="1" customWidth="1"/>
    <col min="7" max="7" width="13.875" style="5" customWidth="1"/>
    <col min="8" max="8" width="13.875" style="27" customWidth="1"/>
    <col min="9" max="9" width="12.375" style="5" customWidth="1"/>
    <col min="10" max="10" width="9.375" style="5" bestFit="1" customWidth="1"/>
    <col min="11" max="11" width="17.375" style="4" customWidth="1"/>
    <col min="12" max="16384" width="9.125" style="3" customWidth="1"/>
  </cols>
  <sheetData>
    <row r="1" spans="1:11" s="2" customFormat="1" ht="28.5" customHeight="1">
      <c r="A1" s="33" t="s">
        <v>252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201</v>
      </c>
      <c r="B5" s="48"/>
      <c r="C5" s="48"/>
      <c r="D5" s="48"/>
      <c r="E5" s="48"/>
      <c r="F5" s="48"/>
      <c r="G5" s="48"/>
      <c r="H5" s="48"/>
    </row>
    <row r="6" spans="1:11" ht="12.75">
      <c r="A6" s="15" t="s">
        <v>11</v>
      </c>
      <c r="B6" s="14" t="s">
        <v>253</v>
      </c>
      <c r="C6" s="14" t="s">
        <v>254</v>
      </c>
      <c r="D6" s="14" t="s">
        <v>93</v>
      </c>
      <c r="E6" s="14" t="str">
        <f>"0,6951"</f>
        <v>0,6951</v>
      </c>
      <c r="F6" s="14" t="s">
        <v>255</v>
      </c>
      <c r="G6" s="15" t="s">
        <v>27</v>
      </c>
      <c r="H6" s="28">
        <v>121</v>
      </c>
      <c r="I6" s="15" t="str">
        <f>"9680,0"</f>
        <v>9680,0</v>
      </c>
      <c r="J6" s="15" t="str">
        <f>"6728,5681"</f>
        <v>6728,5681</v>
      </c>
      <c r="K6" s="14" t="s">
        <v>256</v>
      </c>
    </row>
    <row r="7" spans="1:11" ht="12.75">
      <c r="A7" s="17" t="s">
        <v>11</v>
      </c>
      <c r="B7" s="16" t="s">
        <v>253</v>
      </c>
      <c r="C7" s="16" t="s">
        <v>257</v>
      </c>
      <c r="D7" s="16" t="s">
        <v>93</v>
      </c>
      <c r="E7" s="16" t="str">
        <f>"0,6951"</f>
        <v>0,6951</v>
      </c>
      <c r="F7" s="16" t="s">
        <v>255</v>
      </c>
      <c r="G7" s="17" t="s">
        <v>27</v>
      </c>
      <c r="H7" s="30">
        <v>121</v>
      </c>
      <c r="I7" s="17" t="str">
        <f>"9680,0"</f>
        <v>9680,0</v>
      </c>
      <c r="J7" s="17" t="str">
        <f>"7616,7391"</f>
        <v>7616,7391</v>
      </c>
      <c r="K7" s="16" t="s">
        <v>256</v>
      </c>
    </row>
    <row r="8" ht="12.75">
      <c r="B8" s="4" t="s">
        <v>24</v>
      </c>
    </row>
    <row r="9" spans="1:8" ht="15">
      <c r="A9" s="51" t="s">
        <v>59</v>
      </c>
      <c r="B9" s="51"/>
      <c r="C9" s="51"/>
      <c r="D9" s="51"/>
      <c r="E9" s="51"/>
      <c r="F9" s="51"/>
      <c r="G9" s="51"/>
      <c r="H9" s="51"/>
    </row>
    <row r="10" spans="1:11" ht="12.75">
      <c r="A10" s="7" t="s">
        <v>11</v>
      </c>
      <c r="B10" s="6" t="s">
        <v>124</v>
      </c>
      <c r="C10" s="6" t="s">
        <v>125</v>
      </c>
      <c r="D10" s="6" t="s">
        <v>126</v>
      </c>
      <c r="E10" s="6" t="str">
        <f>"0,6352"</f>
        <v>0,6352</v>
      </c>
      <c r="F10" s="6" t="s">
        <v>121</v>
      </c>
      <c r="G10" s="7" t="s">
        <v>17</v>
      </c>
      <c r="H10" s="26">
        <v>82</v>
      </c>
      <c r="I10" s="7" t="str">
        <f>"8200,0"</f>
        <v>8200,0</v>
      </c>
      <c r="J10" s="7" t="str">
        <f>"5208,6402"</f>
        <v>5208,6402</v>
      </c>
      <c r="K10" s="6" t="s">
        <v>34</v>
      </c>
    </row>
    <row r="11" ht="12.75">
      <c r="B11" s="4" t="s">
        <v>24</v>
      </c>
    </row>
    <row r="12" ht="12.75">
      <c r="B12" s="4" t="s">
        <v>24</v>
      </c>
    </row>
  </sheetData>
  <sheetProtection/>
  <mergeCells count="13">
    <mergeCell ref="A9:H9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0.1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6.125" style="4" bestFit="1" customWidth="1"/>
    <col min="7" max="7" width="14.125" style="5" customWidth="1"/>
    <col min="8" max="8" width="14.125" style="27" customWidth="1"/>
    <col min="9" max="9" width="10.25390625" style="5" customWidth="1"/>
    <col min="10" max="10" width="9.375" style="5" bestFit="1" customWidth="1"/>
    <col min="11" max="11" width="22.75390625" style="4" customWidth="1"/>
    <col min="12" max="16384" width="9.125" style="3" customWidth="1"/>
  </cols>
  <sheetData>
    <row r="1" spans="1:11" s="2" customFormat="1" ht="28.5" customHeight="1">
      <c r="A1" s="33" t="s">
        <v>258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59</v>
      </c>
      <c r="B5" s="48"/>
      <c r="C5" s="48"/>
      <c r="D5" s="48"/>
      <c r="E5" s="48"/>
      <c r="F5" s="48"/>
      <c r="G5" s="48"/>
      <c r="H5" s="48"/>
    </row>
    <row r="6" spans="1:11" ht="12.75">
      <c r="A6" s="15" t="s">
        <v>11</v>
      </c>
      <c r="B6" s="14" t="s">
        <v>259</v>
      </c>
      <c r="C6" s="14" t="s">
        <v>260</v>
      </c>
      <c r="D6" s="14" t="s">
        <v>261</v>
      </c>
      <c r="E6" s="14" t="str">
        <f>"0,6328"</f>
        <v>0,6328</v>
      </c>
      <c r="F6" s="14" t="s">
        <v>105</v>
      </c>
      <c r="G6" s="15" t="s">
        <v>30</v>
      </c>
      <c r="H6" s="28">
        <v>33</v>
      </c>
      <c r="I6" s="15" t="str">
        <f>"1650,0"</f>
        <v>1650,0</v>
      </c>
      <c r="J6" s="15" t="str">
        <f>"1044,1200"</f>
        <v>1044,1200</v>
      </c>
      <c r="K6" s="14" t="s">
        <v>34</v>
      </c>
    </row>
    <row r="7" spans="1:11" ht="12.75">
      <c r="A7" s="19" t="s">
        <v>11</v>
      </c>
      <c r="B7" s="18" t="s">
        <v>259</v>
      </c>
      <c r="C7" s="18" t="s">
        <v>262</v>
      </c>
      <c r="D7" s="18" t="s">
        <v>261</v>
      </c>
      <c r="E7" s="18" t="str">
        <f>"0,6328"</f>
        <v>0,6328</v>
      </c>
      <c r="F7" s="18" t="s">
        <v>105</v>
      </c>
      <c r="G7" s="19" t="s">
        <v>30</v>
      </c>
      <c r="H7" s="29">
        <v>33</v>
      </c>
      <c r="I7" s="19" t="str">
        <f>"1650,0"</f>
        <v>1650,0</v>
      </c>
      <c r="J7" s="19" t="str">
        <f>"1058,7377"</f>
        <v>1058,7377</v>
      </c>
      <c r="K7" s="18" t="s">
        <v>34</v>
      </c>
    </row>
    <row r="8" spans="1:11" ht="12.75">
      <c r="A8" s="17" t="s">
        <v>11</v>
      </c>
      <c r="B8" s="16" t="s">
        <v>263</v>
      </c>
      <c r="C8" s="16" t="s">
        <v>264</v>
      </c>
      <c r="D8" s="16" t="s">
        <v>82</v>
      </c>
      <c r="E8" s="16" t="str">
        <f>"0,6113"</f>
        <v>0,6113</v>
      </c>
      <c r="F8" s="16" t="s">
        <v>265</v>
      </c>
      <c r="G8" s="17" t="s">
        <v>30</v>
      </c>
      <c r="H8" s="30">
        <v>44</v>
      </c>
      <c r="I8" s="17" t="str">
        <f>"2200,0"</f>
        <v>2200,0</v>
      </c>
      <c r="J8" s="17" t="str">
        <f>"1712,0068"</f>
        <v>1712,0068</v>
      </c>
      <c r="K8" s="16" t="s">
        <v>34</v>
      </c>
    </row>
    <row r="9" ht="12.75">
      <c r="B9" s="4" t="s">
        <v>24</v>
      </c>
    </row>
    <row r="10" spans="1:8" ht="15">
      <c r="A10" s="51" t="s">
        <v>63</v>
      </c>
      <c r="B10" s="51"/>
      <c r="C10" s="51"/>
      <c r="D10" s="51"/>
      <c r="E10" s="51"/>
      <c r="F10" s="51"/>
      <c r="G10" s="51"/>
      <c r="H10" s="51"/>
    </row>
    <row r="11" spans="1:11" ht="12.75">
      <c r="A11" s="7" t="s">
        <v>11</v>
      </c>
      <c r="B11" s="6" t="s">
        <v>218</v>
      </c>
      <c r="C11" s="6" t="s">
        <v>219</v>
      </c>
      <c r="D11" s="6" t="s">
        <v>220</v>
      </c>
      <c r="E11" s="6" t="str">
        <f>"0,5966"</f>
        <v>0,5966</v>
      </c>
      <c r="F11" s="6" t="s">
        <v>86</v>
      </c>
      <c r="G11" s="7" t="s">
        <v>32</v>
      </c>
      <c r="H11" s="26">
        <v>26</v>
      </c>
      <c r="I11" s="7" t="str">
        <f>"1430,0"</f>
        <v>1430,0</v>
      </c>
      <c r="J11" s="7" t="str">
        <f>"853,1380"</f>
        <v>853,1380</v>
      </c>
      <c r="K11" s="6" t="s">
        <v>34</v>
      </c>
    </row>
    <row r="12" ht="12.75">
      <c r="B12" s="4" t="s">
        <v>24</v>
      </c>
    </row>
  </sheetData>
  <sheetProtection/>
  <mergeCells count="13">
    <mergeCell ref="A10:H10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2.753906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5.375" style="4" bestFit="1" customWidth="1"/>
    <col min="7" max="7" width="11.875" style="5" customWidth="1"/>
    <col min="8" max="8" width="11.875" style="27" customWidth="1"/>
    <col min="9" max="9" width="11.125" style="5" customWidth="1"/>
    <col min="10" max="10" width="9.375" style="5" bestFit="1" customWidth="1"/>
    <col min="11" max="11" width="20.25390625" style="4" customWidth="1"/>
    <col min="12" max="16384" width="9.125" style="3" customWidth="1"/>
  </cols>
  <sheetData>
    <row r="1" spans="1:11" s="2" customFormat="1" ht="28.5" customHeight="1">
      <c r="A1" s="33" t="s">
        <v>266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201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267</v>
      </c>
      <c r="C6" s="6" t="s">
        <v>268</v>
      </c>
      <c r="D6" s="6" t="s">
        <v>49</v>
      </c>
      <c r="E6" s="6" t="str">
        <f>"0,7173"</f>
        <v>0,7173</v>
      </c>
      <c r="F6" s="6" t="s">
        <v>248</v>
      </c>
      <c r="G6" s="7" t="s">
        <v>16</v>
      </c>
      <c r="H6" s="26">
        <v>20</v>
      </c>
      <c r="I6" s="7" t="str">
        <f>"800,0"</f>
        <v>800,0</v>
      </c>
      <c r="J6" s="7" t="str">
        <f>"573,8400"</f>
        <v>573,8400</v>
      </c>
      <c r="K6" s="6" t="s">
        <v>34</v>
      </c>
    </row>
    <row r="7" ht="12.75">
      <c r="B7" s="4" t="s">
        <v>24</v>
      </c>
    </row>
    <row r="8" spans="1:8" ht="15">
      <c r="A8" s="51" t="s">
        <v>59</v>
      </c>
      <c r="B8" s="51"/>
      <c r="C8" s="51"/>
      <c r="D8" s="51"/>
      <c r="E8" s="51"/>
      <c r="F8" s="51"/>
      <c r="G8" s="51"/>
      <c r="H8" s="51"/>
    </row>
    <row r="9" spans="1:11" ht="12.75">
      <c r="A9" s="7" t="s">
        <v>11</v>
      </c>
      <c r="B9" s="6" t="s">
        <v>249</v>
      </c>
      <c r="C9" s="6" t="s">
        <v>250</v>
      </c>
      <c r="D9" s="6" t="s">
        <v>251</v>
      </c>
      <c r="E9" s="6" t="str">
        <f>"0,6209"</f>
        <v>0,6209</v>
      </c>
      <c r="F9" s="6" t="s">
        <v>248</v>
      </c>
      <c r="G9" s="7" t="s">
        <v>30</v>
      </c>
      <c r="H9" s="26">
        <v>60</v>
      </c>
      <c r="I9" s="7" t="str">
        <f>"3000,0"</f>
        <v>3000,0</v>
      </c>
      <c r="J9" s="7" t="str">
        <f>"2915,1254"</f>
        <v>2915,1254</v>
      </c>
      <c r="K9" s="6" t="s">
        <v>34</v>
      </c>
    </row>
    <row r="10" ht="12.75">
      <c r="B10" s="4" t="s">
        <v>24</v>
      </c>
    </row>
  </sheetData>
  <sheetProtection/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19.00390625" style="4" bestFit="1" customWidth="1"/>
    <col min="3" max="3" width="28.375" style="4" bestFit="1" customWidth="1"/>
    <col min="4" max="4" width="21.375" style="4" bestFit="1" customWidth="1"/>
    <col min="5" max="5" width="15.125" style="4" customWidth="1"/>
    <col min="6" max="6" width="23.125" style="4" bestFit="1" customWidth="1"/>
    <col min="7" max="7" width="12.125" style="5" customWidth="1"/>
    <col min="8" max="8" width="12.125" style="27" customWidth="1"/>
    <col min="9" max="9" width="7.875" style="5" bestFit="1" customWidth="1"/>
    <col min="10" max="10" width="9.375" style="5" bestFit="1" customWidth="1"/>
    <col min="11" max="11" width="20.375" style="4" customWidth="1"/>
    <col min="12" max="16384" width="9.125" style="3" customWidth="1"/>
  </cols>
  <sheetData>
    <row r="1" spans="1:11" s="2" customFormat="1" ht="28.5" customHeight="1">
      <c r="A1" s="33" t="s">
        <v>154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123</v>
      </c>
      <c r="F3" s="45" t="s">
        <v>5</v>
      </c>
      <c r="G3" s="45" t="s">
        <v>135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25</v>
      </c>
      <c r="B5" s="48"/>
      <c r="C5" s="48"/>
      <c r="D5" s="48"/>
      <c r="E5" s="48"/>
      <c r="F5" s="48"/>
      <c r="G5" s="48"/>
      <c r="H5" s="48"/>
    </row>
    <row r="6" spans="1:11" ht="12.75">
      <c r="A6" s="15" t="s">
        <v>11</v>
      </c>
      <c r="B6" s="14" t="s">
        <v>155</v>
      </c>
      <c r="C6" s="14" t="s">
        <v>156</v>
      </c>
      <c r="D6" s="14" t="s">
        <v>33</v>
      </c>
      <c r="E6" s="14" t="str">
        <f>"0,9747"</f>
        <v>0,9747</v>
      </c>
      <c r="F6" s="14" t="s">
        <v>132</v>
      </c>
      <c r="G6" s="15" t="s">
        <v>31</v>
      </c>
      <c r="H6" s="28">
        <v>57</v>
      </c>
      <c r="I6" s="15" t="str">
        <f>"2992,5"</f>
        <v>2992,5</v>
      </c>
      <c r="J6" s="15" t="str">
        <f>"2916,7897"</f>
        <v>2916,7897</v>
      </c>
      <c r="K6" s="14" t="s">
        <v>157</v>
      </c>
    </row>
    <row r="7" spans="1:11" ht="12.75">
      <c r="A7" s="17" t="s">
        <v>11</v>
      </c>
      <c r="B7" s="16" t="s">
        <v>155</v>
      </c>
      <c r="C7" s="16" t="s">
        <v>158</v>
      </c>
      <c r="D7" s="16" t="s">
        <v>33</v>
      </c>
      <c r="E7" s="16" t="str">
        <f>"0,9747"</f>
        <v>0,9747</v>
      </c>
      <c r="F7" s="16" t="s">
        <v>132</v>
      </c>
      <c r="G7" s="17" t="s">
        <v>31</v>
      </c>
      <c r="H7" s="30">
        <v>57</v>
      </c>
      <c r="I7" s="17" t="str">
        <f>"2992,5"</f>
        <v>2992,5</v>
      </c>
      <c r="J7" s="17" t="str">
        <f>"2916,7897"</f>
        <v>2916,7897</v>
      </c>
      <c r="K7" s="16" t="s">
        <v>157</v>
      </c>
    </row>
    <row r="8" ht="12.75">
      <c r="B8" s="4" t="s">
        <v>24</v>
      </c>
    </row>
    <row r="9" spans="1:8" ht="15">
      <c r="A9" s="51" t="s">
        <v>50</v>
      </c>
      <c r="B9" s="51"/>
      <c r="C9" s="51"/>
      <c r="D9" s="51"/>
      <c r="E9" s="51"/>
      <c r="F9" s="51"/>
      <c r="G9" s="51"/>
      <c r="H9" s="51"/>
    </row>
    <row r="10" spans="1:11" ht="12.75">
      <c r="A10" s="15" t="s">
        <v>11</v>
      </c>
      <c r="B10" s="14" t="s">
        <v>159</v>
      </c>
      <c r="C10" s="14" t="s">
        <v>160</v>
      </c>
      <c r="D10" s="14" t="s">
        <v>54</v>
      </c>
      <c r="E10" s="14" t="str">
        <f>"0,6737"</f>
        <v>0,6737</v>
      </c>
      <c r="F10" s="14" t="s">
        <v>106</v>
      </c>
      <c r="G10" s="15" t="s">
        <v>38</v>
      </c>
      <c r="H10" s="28">
        <v>41</v>
      </c>
      <c r="I10" s="15" t="str">
        <f>"3177,5"</f>
        <v>3177,5</v>
      </c>
      <c r="J10" s="15" t="str">
        <f>"2140,5230"</f>
        <v>2140,5230</v>
      </c>
      <c r="K10" s="14" t="s">
        <v>157</v>
      </c>
    </row>
    <row r="11" spans="1:11" ht="12.75">
      <c r="A11" s="19" t="s">
        <v>11</v>
      </c>
      <c r="B11" s="18" t="s">
        <v>161</v>
      </c>
      <c r="C11" s="18" t="s">
        <v>162</v>
      </c>
      <c r="D11" s="18" t="s">
        <v>163</v>
      </c>
      <c r="E11" s="18" t="str">
        <f>"0,6799"</f>
        <v>0,6799</v>
      </c>
      <c r="F11" s="18" t="s">
        <v>132</v>
      </c>
      <c r="G11" s="19" t="s">
        <v>38</v>
      </c>
      <c r="H11" s="29">
        <v>110</v>
      </c>
      <c r="I11" s="19" t="str">
        <f>"8525,0"</f>
        <v>8525,0</v>
      </c>
      <c r="J11" s="19" t="str">
        <f>"5796,5737"</f>
        <v>5796,5737</v>
      </c>
      <c r="K11" s="18" t="s">
        <v>157</v>
      </c>
    </row>
    <row r="12" spans="1:11" ht="12.75">
      <c r="A12" s="19" t="s">
        <v>20</v>
      </c>
      <c r="B12" s="18" t="s">
        <v>114</v>
      </c>
      <c r="C12" s="18" t="s">
        <v>115</v>
      </c>
      <c r="D12" s="18" t="s">
        <v>116</v>
      </c>
      <c r="E12" s="18" t="str">
        <f>"0,6664"</f>
        <v>0,6664</v>
      </c>
      <c r="F12" s="18" t="s">
        <v>117</v>
      </c>
      <c r="G12" s="19" t="s">
        <v>27</v>
      </c>
      <c r="H12" s="29">
        <v>46</v>
      </c>
      <c r="I12" s="19" t="str">
        <f>"3680,0"</f>
        <v>3680,0</v>
      </c>
      <c r="J12" s="19" t="str">
        <f>"2452,3521"</f>
        <v>2452,3521</v>
      </c>
      <c r="K12" s="18" t="s">
        <v>118</v>
      </c>
    </row>
    <row r="13" spans="1:11" ht="12.75">
      <c r="A13" s="17" t="s">
        <v>23</v>
      </c>
      <c r="B13" s="16" t="s">
        <v>159</v>
      </c>
      <c r="C13" s="16" t="s">
        <v>164</v>
      </c>
      <c r="D13" s="16" t="s">
        <v>54</v>
      </c>
      <c r="E13" s="16" t="str">
        <f>"0,6737"</f>
        <v>0,6737</v>
      </c>
      <c r="F13" s="16" t="s">
        <v>106</v>
      </c>
      <c r="G13" s="17" t="s">
        <v>38</v>
      </c>
      <c r="H13" s="30">
        <v>41</v>
      </c>
      <c r="I13" s="17" t="str">
        <f>"3177,5"</f>
        <v>3177,5</v>
      </c>
      <c r="J13" s="17" t="str">
        <f>"2140,5230"</f>
        <v>2140,5230</v>
      </c>
      <c r="K13" s="16" t="s">
        <v>157</v>
      </c>
    </row>
    <row r="14" ht="12.75">
      <c r="B14" s="4" t="s">
        <v>24</v>
      </c>
    </row>
    <row r="15" spans="1:8" ht="15">
      <c r="A15" s="51" t="s">
        <v>55</v>
      </c>
      <c r="B15" s="51"/>
      <c r="C15" s="51"/>
      <c r="D15" s="51"/>
      <c r="E15" s="51"/>
      <c r="F15" s="51"/>
      <c r="G15" s="51"/>
      <c r="H15" s="51"/>
    </row>
    <row r="16" spans="1:11" ht="12.75">
      <c r="A16" s="15" t="s">
        <v>11</v>
      </c>
      <c r="B16" s="14" t="s">
        <v>165</v>
      </c>
      <c r="C16" s="14" t="s">
        <v>166</v>
      </c>
      <c r="D16" s="14" t="s">
        <v>167</v>
      </c>
      <c r="E16" s="14" t="str">
        <f>"0,6402"</f>
        <v>0,6402</v>
      </c>
      <c r="F16" s="14" t="s">
        <v>168</v>
      </c>
      <c r="G16" s="15" t="s">
        <v>13</v>
      </c>
      <c r="H16" s="28">
        <v>46</v>
      </c>
      <c r="I16" s="15" t="str">
        <f>"3910,0"</f>
        <v>3910,0</v>
      </c>
      <c r="J16" s="15" t="str">
        <f>"2502,9865"</f>
        <v>2502,9865</v>
      </c>
      <c r="K16" s="14" t="s">
        <v>34</v>
      </c>
    </row>
    <row r="17" spans="1:11" ht="12.75">
      <c r="A17" s="19" t="s">
        <v>20</v>
      </c>
      <c r="B17" s="18" t="s">
        <v>169</v>
      </c>
      <c r="C17" s="18" t="s">
        <v>170</v>
      </c>
      <c r="D17" s="18" t="s">
        <v>96</v>
      </c>
      <c r="E17" s="18" t="str">
        <f>"0,6217"</f>
        <v>0,6217</v>
      </c>
      <c r="F17" s="18" t="s">
        <v>12</v>
      </c>
      <c r="G17" s="19" t="s">
        <v>28</v>
      </c>
      <c r="H17" s="29">
        <v>31</v>
      </c>
      <c r="I17" s="19" t="str">
        <f>"2712,5"</f>
        <v>2712,5</v>
      </c>
      <c r="J17" s="19" t="str">
        <f>"1686,4969"</f>
        <v>1686,4969</v>
      </c>
      <c r="K17" s="18" t="s">
        <v>34</v>
      </c>
    </row>
    <row r="18" spans="1:11" ht="12.75">
      <c r="A18" s="17" t="s">
        <v>11</v>
      </c>
      <c r="B18" s="16" t="s">
        <v>171</v>
      </c>
      <c r="C18" s="16" t="s">
        <v>172</v>
      </c>
      <c r="D18" s="16" t="s">
        <v>57</v>
      </c>
      <c r="E18" s="16" t="str">
        <f>"0,6145"</f>
        <v>0,6145</v>
      </c>
      <c r="F18" s="16" t="s">
        <v>132</v>
      </c>
      <c r="G18" s="17" t="s">
        <v>14</v>
      </c>
      <c r="H18" s="30">
        <v>50</v>
      </c>
      <c r="I18" s="17" t="str">
        <f>"4500,0"</f>
        <v>4500,0</v>
      </c>
      <c r="J18" s="17" t="str">
        <f>"3329,6319"</f>
        <v>3329,6319</v>
      </c>
      <c r="K18" s="16" t="s">
        <v>34</v>
      </c>
    </row>
    <row r="19" ht="12.75">
      <c r="B19" s="4" t="s">
        <v>24</v>
      </c>
    </row>
    <row r="20" spans="1:8" ht="15">
      <c r="A20" s="51" t="s">
        <v>59</v>
      </c>
      <c r="B20" s="51"/>
      <c r="C20" s="51"/>
      <c r="D20" s="51"/>
      <c r="E20" s="51"/>
      <c r="F20" s="51"/>
      <c r="G20" s="51"/>
      <c r="H20" s="51"/>
    </row>
    <row r="21" spans="1:11" ht="12.75">
      <c r="A21" s="15" t="s">
        <v>11</v>
      </c>
      <c r="B21" s="14" t="s">
        <v>173</v>
      </c>
      <c r="C21" s="14" t="s">
        <v>174</v>
      </c>
      <c r="D21" s="14" t="s">
        <v>175</v>
      </c>
      <c r="E21" s="14" t="str">
        <f>"0,6054"</f>
        <v>0,6054</v>
      </c>
      <c r="F21" s="14" t="s">
        <v>113</v>
      </c>
      <c r="G21" s="15" t="s">
        <v>15</v>
      </c>
      <c r="H21" s="28">
        <v>101</v>
      </c>
      <c r="I21" s="15" t="str">
        <f>"9342,5"</f>
        <v>9342,5</v>
      </c>
      <c r="J21" s="15" t="str">
        <f>"5655,4825"</f>
        <v>5655,4825</v>
      </c>
      <c r="K21" s="14" t="s">
        <v>176</v>
      </c>
    </row>
    <row r="22" spans="1:11" ht="12.75">
      <c r="A22" s="17" t="s">
        <v>20</v>
      </c>
      <c r="B22" s="16" t="s">
        <v>177</v>
      </c>
      <c r="C22" s="16" t="s">
        <v>178</v>
      </c>
      <c r="D22" s="16" t="s">
        <v>179</v>
      </c>
      <c r="E22" s="16" t="str">
        <f>"0,5853"</f>
        <v>0,5853</v>
      </c>
      <c r="F22" s="16" t="s">
        <v>12</v>
      </c>
      <c r="G22" s="17" t="s">
        <v>17</v>
      </c>
      <c r="H22" s="30">
        <v>33</v>
      </c>
      <c r="I22" s="17" t="str">
        <f>"3300,0"</f>
        <v>3300,0</v>
      </c>
      <c r="J22" s="17" t="str">
        <f>"1931,6549"</f>
        <v>1931,6549</v>
      </c>
      <c r="K22" s="16" t="s">
        <v>34</v>
      </c>
    </row>
    <row r="23" ht="12.75">
      <c r="B23" s="4" t="s">
        <v>24</v>
      </c>
    </row>
    <row r="24" spans="1:8" ht="15">
      <c r="A24" s="51" t="s">
        <v>69</v>
      </c>
      <c r="B24" s="51"/>
      <c r="C24" s="51"/>
      <c r="D24" s="51"/>
      <c r="E24" s="51"/>
      <c r="F24" s="51"/>
      <c r="G24" s="51"/>
      <c r="H24" s="51"/>
    </row>
    <row r="25" spans="1:11" ht="12.75">
      <c r="A25" s="7" t="s">
        <v>11</v>
      </c>
      <c r="B25" s="6" t="s">
        <v>180</v>
      </c>
      <c r="C25" s="6" t="s">
        <v>181</v>
      </c>
      <c r="D25" s="6" t="s">
        <v>182</v>
      </c>
      <c r="E25" s="6" t="str">
        <f>"0,5476"</f>
        <v>0,5476</v>
      </c>
      <c r="F25" s="6" t="s">
        <v>70</v>
      </c>
      <c r="G25" s="7" t="s">
        <v>43</v>
      </c>
      <c r="H25" s="26">
        <v>36</v>
      </c>
      <c r="I25" s="7" t="str">
        <f>"4500,0"</f>
        <v>4500,0</v>
      </c>
      <c r="J25" s="7" t="str">
        <f>"2464,4249"</f>
        <v>2464,4249</v>
      </c>
      <c r="K25" s="6" t="s">
        <v>34</v>
      </c>
    </row>
    <row r="26" ht="12.75">
      <c r="B26" s="4" t="s">
        <v>24</v>
      </c>
    </row>
    <row r="29" spans="2:3" ht="18">
      <c r="B29" s="8" t="s">
        <v>71</v>
      </c>
      <c r="C29" s="8"/>
    </row>
    <row r="30" spans="2:3" ht="15">
      <c r="B30" s="31" t="s">
        <v>75</v>
      </c>
      <c r="C30" s="31"/>
    </row>
    <row r="31" spans="2:3" ht="14.25">
      <c r="B31" s="9"/>
      <c r="C31" s="10" t="s">
        <v>72</v>
      </c>
    </row>
    <row r="32" spans="2:6" ht="15">
      <c r="B32" s="11" t="s">
        <v>73</v>
      </c>
      <c r="C32" s="11" t="s">
        <v>74</v>
      </c>
      <c r="D32" s="11" t="s">
        <v>183</v>
      </c>
      <c r="E32" s="11" t="s">
        <v>111</v>
      </c>
      <c r="F32" s="11" t="s">
        <v>133</v>
      </c>
    </row>
    <row r="33" spans="2:6" ht="12.75">
      <c r="B33" s="4" t="s">
        <v>161</v>
      </c>
      <c r="C33" s="4" t="s">
        <v>72</v>
      </c>
      <c r="D33" s="5" t="s">
        <v>184</v>
      </c>
      <c r="E33" s="5" t="s">
        <v>185</v>
      </c>
      <c r="F33" s="5" t="s">
        <v>186</v>
      </c>
    </row>
    <row r="34" spans="2:6" ht="12.75">
      <c r="B34" s="4" t="s">
        <v>173</v>
      </c>
      <c r="C34" s="4" t="s">
        <v>72</v>
      </c>
      <c r="D34" s="5" t="s">
        <v>76</v>
      </c>
      <c r="E34" s="5" t="s">
        <v>187</v>
      </c>
      <c r="F34" s="5" t="s">
        <v>188</v>
      </c>
    </row>
    <row r="35" spans="2:6" ht="12.75">
      <c r="B35" s="4" t="s">
        <v>155</v>
      </c>
      <c r="C35" s="4" t="s">
        <v>72</v>
      </c>
      <c r="D35" s="5" t="s">
        <v>112</v>
      </c>
      <c r="E35" s="5" t="s">
        <v>189</v>
      </c>
      <c r="F35" s="5" t="s">
        <v>190</v>
      </c>
    </row>
  </sheetData>
  <sheetProtection/>
  <mergeCells count="16">
    <mergeCell ref="A9:H9"/>
    <mergeCell ref="A15:H15"/>
    <mergeCell ref="A20:H20"/>
    <mergeCell ref="A24:H24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1.875" style="4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3.75390625" style="4" bestFit="1" customWidth="1"/>
    <col min="7" max="7" width="11.00390625" style="5" customWidth="1"/>
    <col min="8" max="8" width="11.00390625" style="27" customWidth="1"/>
    <col min="9" max="9" width="7.875" style="5" bestFit="1" customWidth="1"/>
    <col min="10" max="10" width="9.375" style="5" bestFit="1" customWidth="1"/>
    <col min="11" max="11" width="18.75390625" style="4" customWidth="1"/>
    <col min="12" max="16384" width="9.125" style="3" customWidth="1"/>
  </cols>
  <sheetData>
    <row r="1" spans="1:11" s="2" customFormat="1" ht="28.5" customHeight="1">
      <c r="A1" s="33" t="s">
        <v>191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123</v>
      </c>
      <c r="F3" s="45" t="s">
        <v>5</v>
      </c>
      <c r="G3" s="45" t="s">
        <v>135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50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192</v>
      </c>
      <c r="C6" s="6" t="s">
        <v>193</v>
      </c>
      <c r="D6" s="6" t="s">
        <v>89</v>
      </c>
      <c r="E6" s="6" t="str">
        <f>"0,6670"</f>
        <v>0,6670</v>
      </c>
      <c r="F6" s="6" t="s">
        <v>58</v>
      </c>
      <c r="G6" s="7" t="s">
        <v>16</v>
      </c>
      <c r="H6" s="26">
        <v>132</v>
      </c>
      <c r="I6" s="7" t="str">
        <f>"5280,0"</f>
        <v>5280,0</v>
      </c>
      <c r="J6" s="7" t="str">
        <f>"5321,3793"</f>
        <v>5321,3793</v>
      </c>
      <c r="K6" s="6" t="s">
        <v>119</v>
      </c>
    </row>
    <row r="7" ht="12.75">
      <c r="B7" s="4" t="s">
        <v>24</v>
      </c>
    </row>
    <row r="8" spans="1:8" ht="15">
      <c r="A8" s="51" t="s">
        <v>55</v>
      </c>
      <c r="B8" s="51"/>
      <c r="C8" s="51"/>
      <c r="D8" s="51"/>
      <c r="E8" s="51"/>
      <c r="F8" s="51"/>
      <c r="G8" s="51"/>
      <c r="H8" s="51"/>
    </row>
    <row r="9" spans="1:11" ht="12.75">
      <c r="A9" s="7" t="s">
        <v>11</v>
      </c>
      <c r="B9" s="6" t="s">
        <v>194</v>
      </c>
      <c r="C9" s="6" t="s">
        <v>195</v>
      </c>
      <c r="D9" s="6" t="s">
        <v>196</v>
      </c>
      <c r="E9" s="6" t="str">
        <f>"0,6345"</f>
        <v>0,6345</v>
      </c>
      <c r="F9" s="6" t="s">
        <v>197</v>
      </c>
      <c r="G9" s="7" t="s">
        <v>22</v>
      </c>
      <c r="H9" s="26">
        <v>87</v>
      </c>
      <c r="I9" s="7" t="str">
        <f>"3697,5"</f>
        <v>3697,5</v>
      </c>
      <c r="J9" s="7" t="str">
        <f>"3401,5245"</f>
        <v>3401,5245</v>
      </c>
      <c r="K9" s="6" t="s">
        <v>34</v>
      </c>
    </row>
    <row r="10" ht="12.75">
      <c r="B10" s="4" t="s">
        <v>24</v>
      </c>
    </row>
    <row r="11" ht="12.75">
      <c r="B11" s="4" t="s">
        <v>24</v>
      </c>
    </row>
  </sheetData>
  <sheetProtection/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4" bestFit="1" customWidth="1"/>
    <col min="2" max="2" width="20.875" style="4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20.375" style="4" bestFit="1" customWidth="1"/>
    <col min="7" max="9" width="5.375" style="5" customWidth="1"/>
    <col min="10" max="10" width="4.875" style="5" customWidth="1"/>
    <col min="11" max="11" width="11.875" style="5" customWidth="1"/>
    <col min="12" max="12" width="11.875" style="27" customWidth="1"/>
    <col min="13" max="13" width="7.875" style="5" bestFit="1" customWidth="1"/>
    <col min="14" max="14" width="12.125" style="5" customWidth="1"/>
    <col min="15" max="15" width="22.75390625" style="4" customWidth="1"/>
    <col min="16" max="16384" width="9.125" style="3" customWidth="1"/>
  </cols>
  <sheetData>
    <row r="1" spans="1:15" s="2" customFormat="1" ht="28.5" customHeight="1">
      <c r="A1" s="33" t="s">
        <v>204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202</v>
      </c>
      <c r="F3" s="45" t="s">
        <v>5</v>
      </c>
      <c r="G3" s="45" t="s">
        <v>6</v>
      </c>
      <c r="H3" s="45"/>
      <c r="I3" s="45"/>
      <c r="J3" s="45"/>
      <c r="K3" s="45" t="s">
        <v>205</v>
      </c>
      <c r="L3" s="45"/>
      <c r="M3" s="45" t="s">
        <v>7</v>
      </c>
      <c r="N3" s="45" t="s">
        <v>8</v>
      </c>
      <c r="O3" s="46" t="s">
        <v>9</v>
      </c>
    </row>
    <row r="4" spans="1:15" s="1" customFormat="1" ht="21" customHeight="1" thickBot="1">
      <c r="A4" s="42"/>
      <c r="B4" s="50"/>
      <c r="C4" s="44"/>
      <c r="D4" s="44"/>
      <c r="E4" s="44"/>
      <c r="F4" s="44"/>
      <c r="G4" s="32">
        <v>1</v>
      </c>
      <c r="H4" s="32">
        <v>2</v>
      </c>
      <c r="I4" s="32">
        <v>3</v>
      </c>
      <c r="J4" s="32" t="s">
        <v>10</v>
      </c>
      <c r="K4" s="32" t="s">
        <v>137</v>
      </c>
      <c r="L4" s="25" t="s">
        <v>138</v>
      </c>
      <c r="M4" s="44"/>
      <c r="N4" s="44"/>
      <c r="O4" s="47"/>
    </row>
    <row r="5" spans="1:12" ht="15">
      <c r="A5" s="48" t="s">
        <v>55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2.75">
      <c r="A6" s="7" t="s">
        <v>11</v>
      </c>
      <c r="B6" s="6" t="s">
        <v>206</v>
      </c>
      <c r="C6" s="6" t="s">
        <v>207</v>
      </c>
      <c r="D6" s="6" t="s">
        <v>57</v>
      </c>
      <c r="E6" s="6" t="str">
        <f>"0,6410"</f>
        <v>0,6410</v>
      </c>
      <c r="F6" s="6" t="s">
        <v>208</v>
      </c>
      <c r="G6" s="13" t="s">
        <v>37</v>
      </c>
      <c r="H6" s="13" t="s">
        <v>48</v>
      </c>
      <c r="I6" s="13" t="s">
        <v>77</v>
      </c>
      <c r="J6" s="7"/>
      <c r="K6" s="7" t="s">
        <v>14</v>
      </c>
      <c r="L6" s="26">
        <v>29</v>
      </c>
      <c r="M6" s="7" t="str">
        <f>"196,5"</f>
        <v>196,5</v>
      </c>
      <c r="N6" s="7" t="str">
        <f>"7292,3362"</f>
        <v>7292,3362</v>
      </c>
      <c r="O6" s="6" t="s">
        <v>34</v>
      </c>
    </row>
    <row r="7" ht="12.75">
      <c r="B7" s="4" t="s">
        <v>24</v>
      </c>
    </row>
    <row r="8" spans="1:12" ht="15">
      <c r="A8" s="51" t="s">
        <v>59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5" ht="12.75">
      <c r="A9" s="15" t="s">
        <v>11</v>
      </c>
      <c r="B9" s="14" t="s">
        <v>209</v>
      </c>
      <c r="C9" s="14" t="s">
        <v>210</v>
      </c>
      <c r="D9" s="14" t="s">
        <v>78</v>
      </c>
      <c r="E9" s="14" t="str">
        <f>"0,6101"</f>
        <v>0,6101</v>
      </c>
      <c r="F9" s="14" t="s">
        <v>211</v>
      </c>
      <c r="G9" s="21" t="s">
        <v>41</v>
      </c>
      <c r="H9" s="21" t="s">
        <v>36</v>
      </c>
      <c r="I9" s="21" t="s">
        <v>37</v>
      </c>
      <c r="J9" s="15"/>
      <c r="K9" s="15" t="s">
        <v>17</v>
      </c>
      <c r="L9" s="28">
        <v>21</v>
      </c>
      <c r="M9" s="15" t="str">
        <f>"176,0"</f>
        <v>176,0</v>
      </c>
      <c r="N9" s="15" t="str">
        <f>"6265,7267"</f>
        <v>6265,7267</v>
      </c>
      <c r="O9" s="14" t="s">
        <v>34</v>
      </c>
    </row>
    <row r="10" spans="1:15" ht="12.75">
      <c r="A10" s="19" t="s">
        <v>11</v>
      </c>
      <c r="B10" s="18" t="s">
        <v>212</v>
      </c>
      <c r="C10" s="18" t="s">
        <v>213</v>
      </c>
      <c r="D10" s="18" t="s">
        <v>214</v>
      </c>
      <c r="E10" s="18" t="str">
        <f>"0,6142"</f>
        <v>0,6142</v>
      </c>
      <c r="F10" s="18" t="s">
        <v>215</v>
      </c>
      <c r="G10" s="24" t="s">
        <v>45</v>
      </c>
      <c r="H10" s="23" t="s">
        <v>45</v>
      </c>
      <c r="I10" s="24" t="s">
        <v>46</v>
      </c>
      <c r="J10" s="19"/>
      <c r="K10" s="19" t="s">
        <v>17</v>
      </c>
      <c r="L10" s="29">
        <v>28</v>
      </c>
      <c r="M10" s="19" t="str">
        <f>"193,0"</f>
        <v>193,0</v>
      </c>
      <c r="N10" s="19" t="str">
        <f>"7130,8620"</f>
        <v>7130,8620</v>
      </c>
      <c r="O10" s="18" t="s">
        <v>34</v>
      </c>
    </row>
    <row r="11" spans="1:15" ht="12.75">
      <c r="A11" s="17" t="s">
        <v>11</v>
      </c>
      <c r="B11" s="16" t="s">
        <v>209</v>
      </c>
      <c r="C11" s="16" t="s">
        <v>216</v>
      </c>
      <c r="D11" s="16" t="s">
        <v>78</v>
      </c>
      <c r="E11" s="16" t="str">
        <f>"0,6101"</f>
        <v>0,6101</v>
      </c>
      <c r="F11" s="16" t="s">
        <v>211</v>
      </c>
      <c r="G11" s="22" t="s">
        <v>41</v>
      </c>
      <c r="H11" s="22" t="s">
        <v>36</v>
      </c>
      <c r="I11" s="22" t="s">
        <v>37</v>
      </c>
      <c r="J11" s="17"/>
      <c r="K11" s="17" t="s">
        <v>17</v>
      </c>
      <c r="L11" s="30">
        <v>21</v>
      </c>
      <c r="M11" s="17" t="str">
        <f>"176,0"</f>
        <v>176,0</v>
      </c>
      <c r="N11" s="17" t="str">
        <f>"6265,7267"</f>
        <v>6265,7267</v>
      </c>
      <c r="O11" s="16" t="s">
        <v>34</v>
      </c>
    </row>
    <row r="12" ht="12.75">
      <c r="B12" s="4" t="s">
        <v>24</v>
      </c>
    </row>
  </sheetData>
  <sheetProtection/>
  <mergeCells count="14">
    <mergeCell ref="A8:L8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4" bestFit="1" customWidth="1"/>
    <col min="2" max="2" width="20.125" style="4" bestFit="1" customWidth="1"/>
    <col min="3" max="3" width="26.25390625" style="4" bestFit="1" customWidth="1"/>
    <col min="4" max="4" width="17.375" style="4" customWidth="1"/>
    <col min="5" max="5" width="21.875" style="4" customWidth="1"/>
    <col min="6" max="6" width="17.375" style="4" bestFit="1" customWidth="1"/>
    <col min="7" max="10" width="5.375" style="5" customWidth="1"/>
    <col min="11" max="11" width="14.125" style="5" customWidth="1"/>
    <col min="12" max="12" width="14.125" style="27" customWidth="1"/>
    <col min="13" max="13" width="9.75390625" style="5" customWidth="1"/>
    <col min="14" max="14" width="9.375" style="5" bestFit="1" customWidth="1"/>
    <col min="15" max="15" width="23.00390625" style="4" customWidth="1"/>
    <col min="16" max="16384" width="9.125" style="3" customWidth="1"/>
  </cols>
  <sheetData>
    <row r="1" spans="1:15" s="2" customFormat="1" ht="28.5" customHeight="1">
      <c r="A1" s="33" t="s">
        <v>217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202</v>
      </c>
      <c r="F3" s="45" t="s">
        <v>5</v>
      </c>
      <c r="G3" s="45" t="s">
        <v>199</v>
      </c>
      <c r="H3" s="45"/>
      <c r="I3" s="45"/>
      <c r="J3" s="45"/>
      <c r="K3" s="45" t="s">
        <v>203</v>
      </c>
      <c r="L3" s="45"/>
      <c r="M3" s="45" t="s">
        <v>87</v>
      </c>
      <c r="N3" s="45" t="s">
        <v>8</v>
      </c>
      <c r="O3" s="46" t="s">
        <v>9</v>
      </c>
    </row>
    <row r="4" spans="1:15" s="1" customFormat="1" ht="21" customHeight="1" thickBot="1">
      <c r="A4" s="42"/>
      <c r="B4" s="50"/>
      <c r="C4" s="44"/>
      <c r="D4" s="44"/>
      <c r="E4" s="44"/>
      <c r="F4" s="44"/>
      <c r="G4" s="32">
        <v>1</v>
      </c>
      <c r="H4" s="32">
        <v>2</v>
      </c>
      <c r="I4" s="32">
        <v>3</v>
      </c>
      <c r="J4" s="32" t="s">
        <v>10</v>
      </c>
      <c r="K4" s="32" t="s">
        <v>137</v>
      </c>
      <c r="L4" s="25" t="s">
        <v>138</v>
      </c>
      <c r="M4" s="44"/>
      <c r="N4" s="44"/>
      <c r="O4" s="47"/>
    </row>
    <row r="5" spans="1:12" ht="15">
      <c r="A5" s="48" t="s">
        <v>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2.75">
      <c r="A6" s="7" t="s">
        <v>11</v>
      </c>
      <c r="B6" s="6" t="s">
        <v>218</v>
      </c>
      <c r="C6" s="6" t="s">
        <v>219</v>
      </c>
      <c r="D6" s="6" t="s">
        <v>220</v>
      </c>
      <c r="E6" s="6" t="str">
        <f>"0,5966"</f>
        <v>0,5966</v>
      </c>
      <c r="F6" s="6" t="s">
        <v>86</v>
      </c>
      <c r="G6" s="13" t="s">
        <v>18</v>
      </c>
      <c r="H6" s="13" t="s">
        <v>47</v>
      </c>
      <c r="I6" s="7"/>
      <c r="J6" s="7"/>
      <c r="K6" s="7" t="s">
        <v>32</v>
      </c>
      <c r="L6" s="26">
        <v>26</v>
      </c>
      <c r="M6" s="7" t="str">
        <f>"138,5"</f>
        <v>138,5</v>
      </c>
      <c r="N6" s="7" t="str">
        <f>"4422,2975"</f>
        <v>4422,2975</v>
      </c>
      <c r="O6" s="6" t="s">
        <v>34</v>
      </c>
    </row>
    <row r="7" ht="12.75">
      <c r="B7" s="4" t="s">
        <v>24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4" bestFit="1" customWidth="1"/>
    <col min="2" max="2" width="21.00390625" style="4" customWidth="1"/>
    <col min="3" max="3" width="28.375" style="4" bestFit="1" customWidth="1"/>
    <col min="4" max="4" width="21.375" style="4" bestFit="1" customWidth="1"/>
    <col min="5" max="5" width="15.125" style="4" bestFit="1" customWidth="1"/>
    <col min="6" max="6" width="17.375" style="4" bestFit="1" customWidth="1"/>
    <col min="7" max="9" width="5.375" style="5" customWidth="1"/>
    <col min="10" max="10" width="4.875" style="5" customWidth="1"/>
    <col min="11" max="11" width="11.125" style="5" customWidth="1"/>
    <col min="12" max="12" width="11.125" style="27" customWidth="1"/>
    <col min="13" max="13" width="7.875" style="5" bestFit="1" customWidth="1"/>
    <col min="14" max="14" width="9.375" style="5" bestFit="1" customWidth="1"/>
    <col min="15" max="15" width="20.75390625" style="4" customWidth="1"/>
    <col min="16" max="16384" width="9.125" style="3" customWidth="1"/>
  </cols>
  <sheetData>
    <row r="1" spans="1:15" s="2" customFormat="1" ht="28.5" customHeight="1">
      <c r="A1" s="33" t="s">
        <v>221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202</v>
      </c>
      <c r="F3" s="45" t="s">
        <v>5</v>
      </c>
      <c r="G3" s="45" t="s">
        <v>6</v>
      </c>
      <c r="H3" s="45"/>
      <c r="I3" s="45"/>
      <c r="J3" s="45"/>
      <c r="K3" s="45" t="s">
        <v>203</v>
      </c>
      <c r="L3" s="45"/>
      <c r="M3" s="45" t="s">
        <v>7</v>
      </c>
      <c r="N3" s="45" t="s">
        <v>8</v>
      </c>
      <c r="O3" s="46" t="s">
        <v>9</v>
      </c>
    </row>
    <row r="4" spans="1:15" s="1" customFormat="1" ht="21" customHeight="1" thickBot="1">
      <c r="A4" s="42"/>
      <c r="B4" s="50"/>
      <c r="C4" s="44"/>
      <c r="D4" s="44"/>
      <c r="E4" s="44"/>
      <c r="F4" s="44"/>
      <c r="G4" s="32">
        <v>1</v>
      </c>
      <c r="H4" s="32">
        <v>2</v>
      </c>
      <c r="I4" s="32">
        <v>3</v>
      </c>
      <c r="J4" s="32" t="s">
        <v>10</v>
      </c>
      <c r="K4" s="32" t="s">
        <v>137</v>
      </c>
      <c r="L4" s="25" t="s">
        <v>138</v>
      </c>
      <c r="M4" s="44"/>
      <c r="N4" s="44"/>
      <c r="O4" s="47"/>
    </row>
    <row r="5" spans="1:12" ht="15">
      <c r="A5" s="48" t="s">
        <v>201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2.75">
      <c r="A6" s="7" t="s">
        <v>11</v>
      </c>
      <c r="B6" s="6" t="s">
        <v>91</v>
      </c>
      <c r="C6" s="6" t="s">
        <v>92</v>
      </c>
      <c r="D6" s="6" t="s">
        <v>93</v>
      </c>
      <c r="E6" s="6" t="str">
        <f>"0,6951"</f>
        <v>0,6951</v>
      </c>
      <c r="F6" s="6" t="s">
        <v>94</v>
      </c>
      <c r="G6" s="12" t="s">
        <v>19</v>
      </c>
      <c r="H6" s="13" t="s">
        <v>19</v>
      </c>
      <c r="I6" s="12" t="s">
        <v>47</v>
      </c>
      <c r="J6" s="7"/>
      <c r="K6" s="7" t="s">
        <v>16</v>
      </c>
      <c r="L6" s="26">
        <v>55</v>
      </c>
      <c r="M6" s="7" t="str">
        <f>"165,0"</f>
        <v>165,0</v>
      </c>
      <c r="N6" s="7" t="str">
        <f>"5505,1921"</f>
        <v>5505,1921</v>
      </c>
      <c r="O6" s="6" t="s">
        <v>95</v>
      </c>
    </row>
    <row r="7" ht="12.75">
      <c r="B7" s="4" t="s">
        <v>24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O2"/>
    </sheetView>
  </sheetViews>
  <sheetFormatPr defaultColWidth="9.125" defaultRowHeight="12.75"/>
  <cols>
    <col min="1" max="1" width="7.375" style="4" bestFit="1" customWidth="1"/>
    <col min="2" max="2" width="19.125" style="4" bestFit="1" customWidth="1"/>
    <col min="3" max="3" width="28.375" style="4" bestFit="1" customWidth="1"/>
    <col min="4" max="4" width="21.375" style="4" bestFit="1" customWidth="1"/>
    <col min="5" max="5" width="15.125" style="4" bestFit="1" customWidth="1"/>
    <col min="6" max="6" width="17.375" style="4" bestFit="1" customWidth="1"/>
    <col min="7" max="9" width="5.375" style="5" customWidth="1"/>
    <col min="10" max="10" width="4.875" style="5" customWidth="1"/>
    <col min="11" max="11" width="12.00390625" style="5" customWidth="1"/>
    <col min="12" max="12" width="12.125" style="27" customWidth="1"/>
    <col min="13" max="13" width="7.875" style="5" bestFit="1" customWidth="1"/>
    <col min="14" max="14" width="9.375" style="5" bestFit="1" customWidth="1"/>
    <col min="15" max="15" width="19.25390625" style="4" customWidth="1"/>
    <col min="16" max="16384" width="9.125" style="3" customWidth="1"/>
  </cols>
  <sheetData>
    <row r="1" spans="1:15" s="2" customFormat="1" ht="28.5" customHeight="1">
      <c r="A1" s="33" t="s">
        <v>222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202</v>
      </c>
      <c r="F3" s="45" t="s">
        <v>5</v>
      </c>
      <c r="G3" s="45" t="s">
        <v>6</v>
      </c>
      <c r="H3" s="45"/>
      <c r="I3" s="45"/>
      <c r="J3" s="45"/>
      <c r="K3" s="45" t="s">
        <v>203</v>
      </c>
      <c r="L3" s="45"/>
      <c r="M3" s="45" t="s">
        <v>7</v>
      </c>
      <c r="N3" s="45" t="s">
        <v>8</v>
      </c>
      <c r="O3" s="46" t="s">
        <v>9</v>
      </c>
    </row>
    <row r="4" spans="1:15" s="1" customFormat="1" ht="21" customHeight="1" thickBot="1">
      <c r="A4" s="42"/>
      <c r="B4" s="50"/>
      <c r="C4" s="44"/>
      <c r="D4" s="44"/>
      <c r="E4" s="44"/>
      <c r="F4" s="44"/>
      <c r="G4" s="32">
        <v>1</v>
      </c>
      <c r="H4" s="32">
        <v>2</v>
      </c>
      <c r="I4" s="32">
        <v>3</v>
      </c>
      <c r="J4" s="32" t="s">
        <v>10</v>
      </c>
      <c r="K4" s="32" t="s">
        <v>137</v>
      </c>
      <c r="L4" s="25" t="s">
        <v>138</v>
      </c>
      <c r="M4" s="44"/>
      <c r="N4" s="44"/>
      <c r="O4" s="47"/>
    </row>
    <row r="5" spans="1:12" ht="15">
      <c r="A5" s="48" t="s">
        <v>59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2.75">
      <c r="A6" s="15" t="s">
        <v>11</v>
      </c>
      <c r="B6" s="14" t="s">
        <v>223</v>
      </c>
      <c r="C6" s="14" t="s">
        <v>224</v>
      </c>
      <c r="D6" s="14" t="s">
        <v>179</v>
      </c>
      <c r="E6" s="14" t="str">
        <f>"0,6126"</f>
        <v>0,6126</v>
      </c>
      <c r="F6" s="14" t="s">
        <v>12</v>
      </c>
      <c r="G6" s="21" t="s">
        <v>41</v>
      </c>
      <c r="H6" s="21" t="s">
        <v>44</v>
      </c>
      <c r="I6" s="20" t="s">
        <v>40</v>
      </c>
      <c r="J6" s="15"/>
      <c r="K6" s="15" t="s">
        <v>30</v>
      </c>
      <c r="L6" s="28">
        <v>56</v>
      </c>
      <c r="M6" s="15" t="str">
        <f>"201,0"</f>
        <v>201,0</v>
      </c>
      <c r="N6" s="15" t="str">
        <f>"6499,6863"</f>
        <v>6499,6863</v>
      </c>
      <c r="O6" s="14" t="s">
        <v>34</v>
      </c>
    </row>
    <row r="7" spans="1:15" ht="12.75">
      <c r="A7" s="19" t="s">
        <v>11</v>
      </c>
      <c r="B7" s="18" t="s">
        <v>225</v>
      </c>
      <c r="C7" s="18" t="s">
        <v>226</v>
      </c>
      <c r="D7" s="18" t="s">
        <v>227</v>
      </c>
      <c r="E7" s="18" t="str">
        <f>"0,6163"</f>
        <v>0,6163</v>
      </c>
      <c r="F7" s="18" t="s">
        <v>228</v>
      </c>
      <c r="G7" s="23" t="s">
        <v>53</v>
      </c>
      <c r="H7" s="24" t="s">
        <v>40</v>
      </c>
      <c r="I7" s="24" t="s">
        <v>40</v>
      </c>
      <c r="J7" s="19"/>
      <c r="K7" s="19" t="s">
        <v>30</v>
      </c>
      <c r="L7" s="29">
        <v>66</v>
      </c>
      <c r="M7" s="19" t="str">
        <f>"206,0"</f>
        <v>206,0</v>
      </c>
      <c r="N7" s="19" t="str">
        <f>"6754,6479"</f>
        <v>6754,6479</v>
      </c>
      <c r="O7" s="18" t="s">
        <v>34</v>
      </c>
    </row>
    <row r="8" spans="1:15" ht="12.75">
      <c r="A8" s="17" t="s">
        <v>11</v>
      </c>
      <c r="B8" s="16" t="s">
        <v>198</v>
      </c>
      <c r="C8" s="16" t="s">
        <v>229</v>
      </c>
      <c r="D8" s="16" t="s">
        <v>120</v>
      </c>
      <c r="E8" s="16" t="str">
        <f>"0,6180"</f>
        <v>0,6180</v>
      </c>
      <c r="F8" s="16" t="s">
        <v>122</v>
      </c>
      <c r="G8" s="22" t="s">
        <v>13</v>
      </c>
      <c r="H8" s="22" t="s">
        <v>14</v>
      </c>
      <c r="I8" s="22" t="s">
        <v>15</v>
      </c>
      <c r="J8" s="17"/>
      <c r="K8" s="17" t="s">
        <v>30</v>
      </c>
      <c r="L8" s="30">
        <v>31</v>
      </c>
      <c r="M8" s="17" t="str">
        <f>"123,5"</f>
        <v>123,5</v>
      </c>
      <c r="N8" s="17" t="str">
        <f>"4007,7298"</f>
        <v>4007,7298</v>
      </c>
      <c r="O8" s="16" t="s">
        <v>34</v>
      </c>
    </row>
    <row r="9" ht="12.75">
      <c r="B9" s="4" t="s">
        <v>24</v>
      </c>
    </row>
  </sheetData>
  <sheetProtection/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2">
      <selection activeCell="A1" sqref="A1:O2"/>
    </sheetView>
  </sheetViews>
  <sheetFormatPr defaultColWidth="9.125" defaultRowHeight="12.75"/>
  <cols>
    <col min="1" max="1" width="7.375" style="4" bestFit="1" customWidth="1"/>
    <col min="2" max="2" width="19.25390625" style="4" bestFit="1" customWidth="1"/>
    <col min="3" max="3" width="28.375" style="4" bestFit="1" customWidth="1"/>
    <col min="4" max="4" width="21.375" style="4" bestFit="1" customWidth="1"/>
    <col min="5" max="5" width="19.25390625" style="4" customWidth="1"/>
    <col min="6" max="6" width="19.25390625" style="4" bestFit="1" customWidth="1"/>
    <col min="7" max="9" width="5.375" style="5" customWidth="1"/>
    <col min="10" max="10" width="4.875" style="5" customWidth="1"/>
    <col min="11" max="11" width="13.25390625" style="5" customWidth="1"/>
    <col min="12" max="12" width="10.375" style="27" customWidth="1"/>
    <col min="13" max="13" width="7.875" style="5" bestFit="1" customWidth="1"/>
    <col min="14" max="14" width="10.375" style="5" bestFit="1" customWidth="1"/>
    <col min="15" max="15" width="20.875" style="4" customWidth="1"/>
    <col min="16" max="16384" width="9.125" style="3" customWidth="1"/>
  </cols>
  <sheetData>
    <row r="1" spans="1:15" s="2" customFormat="1" ht="28.5" customHeight="1">
      <c r="A1" s="33" t="s">
        <v>230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202</v>
      </c>
      <c r="F3" s="45" t="s">
        <v>5</v>
      </c>
      <c r="G3" s="45" t="s">
        <v>6</v>
      </c>
      <c r="H3" s="45"/>
      <c r="I3" s="45"/>
      <c r="J3" s="45"/>
      <c r="K3" s="45" t="s">
        <v>203</v>
      </c>
      <c r="L3" s="45"/>
      <c r="M3" s="45" t="s">
        <v>7</v>
      </c>
      <c r="N3" s="45" t="s">
        <v>8</v>
      </c>
      <c r="O3" s="46" t="s">
        <v>9</v>
      </c>
    </row>
    <row r="4" spans="1:15" s="1" customFormat="1" ht="21" customHeight="1" thickBot="1">
      <c r="A4" s="42"/>
      <c r="B4" s="50"/>
      <c r="C4" s="44"/>
      <c r="D4" s="44"/>
      <c r="E4" s="44"/>
      <c r="F4" s="44"/>
      <c r="G4" s="32">
        <v>1</v>
      </c>
      <c r="H4" s="32">
        <v>2</v>
      </c>
      <c r="I4" s="32">
        <v>3</v>
      </c>
      <c r="J4" s="32" t="s">
        <v>10</v>
      </c>
      <c r="K4" s="32" t="s">
        <v>137</v>
      </c>
      <c r="L4" s="25" t="s">
        <v>138</v>
      </c>
      <c r="M4" s="44"/>
      <c r="N4" s="44"/>
      <c r="O4" s="47"/>
    </row>
    <row r="5" spans="1:12" ht="15">
      <c r="A5" s="48" t="s">
        <v>59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2.75">
      <c r="A6" s="7" t="s">
        <v>11</v>
      </c>
      <c r="B6" s="6" t="s">
        <v>124</v>
      </c>
      <c r="C6" s="6" t="s">
        <v>125</v>
      </c>
      <c r="D6" s="6" t="s">
        <v>126</v>
      </c>
      <c r="E6" s="6" t="str">
        <f>"0,6352"</f>
        <v>0,6352</v>
      </c>
      <c r="F6" s="6" t="s">
        <v>121</v>
      </c>
      <c r="G6" s="13" t="s">
        <v>60</v>
      </c>
      <c r="H6" s="13" t="s">
        <v>83</v>
      </c>
      <c r="I6" s="12" t="s">
        <v>80</v>
      </c>
      <c r="J6" s="7"/>
      <c r="K6" s="7" t="s">
        <v>17</v>
      </c>
      <c r="L6" s="26">
        <v>82</v>
      </c>
      <c r="M6" s="7" t="str">
        <f>"362,0"</f>
        <v>362,0</v>
      </c>
      <c r="N6" s="7" t="str">
        <f>"15143,1686"</f>
        <v>15143,1686</v>
      </c>
      <c r="O6" s="6" t="s">
        <v>34</v>
      </c>
    </row>
    <row r="7" ht="12.75">
      <c r="B7" s="4" t="s">
        <v>24</v>
      </c>
    </row>
    <row r="8" spans="1:12" ht="15">
      <c r="A8" s="51" t="s">
        <v>63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5" ht="12.75">
      <c r="A9" s="15" t="s">
        <v>11</v>
      </c>
      <c r="B9" s="14" t="s">
        <v>127</v>
      </c>
      <c r="C9" s="14" t="s">
        <v>128</v>
      </c>
      <c r="D9" s="14" t="s">
        <v>129</v>
      </c>
      <c r="E9" s="14" t="str">
        <f>"0,5972"</f>
        <v>0,5972</v>
      </c>
      <c r="F9" s="14" t="s">
        <v>130</v>
      </c>
      <c r="G9" s="21" t="s">
        <v>81</v>
      </c>
      <c r="H9" s="21" t="s">
        <v>85</v>
      </c>
      <c r="I9" s="20" t="s">
        <v>131</v>
      </c>
      <c r="J9" s="15"/>
      <c r="K9" s="15" t="s">
        <v>19</v>
      </c>
      <c r="L9" s="28">
        <v>47</v>
      </c>
      <c r="M9" s="15" t="str">
        <f>"354,5"</f>
        <v>354,5</v>
      </c>
      <c r="N9" s="15" t="str">
        <f>"13041,3545"</f>
        <v>13041,3545</v>
      </c>
      <c r="O9" s="14" t="s">
        <v>231</v>
      </c>
    </row>
    <row r="10" spans="1:15" ht="12.75">
      <c r="A10" s="17" t="s">
        <v>11</v>
      </c>
      <c r="B10" s="16" t="s">
        <v>232</v>
      </c>
      <c r="C10" s="16" t="s">
        <v>233</v>
      </c>
      <c r="D10" s="16" t="s">
        <v>234</v>
      </c>
      <c r="E10" s="16" t="str">
        <f>"0,6017"</f>
        <v>0,6017</v>
      </c>
      <c r="F10" s="16" t="s">
        <v>58</v>
      </c>
      <c r="G10" s="22" t="s">
        <v>51</v>
      </c>
      <c r="H10" s="22" t="s">
        <v>56</v>
      </c>
      <c r="I10" s="22" t="s">
        <v>62</v>
      </c>
      <c r="J10" s="17"/>
      <c r="K10" s="17" t="s">
        <v>19</v>
      </c>
      <c r="L10" s="30">
        <v>29</v>
      </c>
      <c r="M10" s="17" t="str">
        <f>"244,0"</f>
        <v>244,0</v>
      </c>
      <c r="N10" s="17" t="str">
        <f>"8867,5539"</f>
        <v>8867,5539</v>
      </c>
      <c r="O10" s="16" t="s">
        <v>34</v>
      </c>
    </row>
    <row r="11" ht="12.75">
      <c r="B11" s="4" t="s">
        <v>24</v>
      </c>
    </row>
    <row r="12" spans="1:12" ht="15">
      <c r="A12" s="51" t="s">
        <v>235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5" ht="12.75">
      <c r="A13" s="7" t="s">
        <v>11</v>
      </c>
      <c r="B13" s="6" t="s">
        <v>236</v>
      </c>
      <c r="C13" s="6" t="s">
        <v>237</v>
      </c>
      <c r="D13" s="6" t="s">
        <v>238</v>
      </c>
      <c r="E13" s="6" t="str">
        <f>"0,5729"</f>
        <v>0,5729</v>
      </c>
      <c r="F13" s="6" t="s">
        <v>58</v>
      </c>
      <c r="G13" s="13" t="s">
        <v>61</v>
      </c>
      <c r="H13" s="12" t="s">
        <v>79</v>
      </c>
      <c r="I13" s="13" t="s">
        <v>79</v>
      </c>
      <c r="J13" s="7"/>
      <c r="K13" s="7" t="s">
        <v>52</v>
      </c>
      <c r="L13" s="26">
        <v>45</v>
      </c>
      <c r="M13" s="7" t="str">
        <f>"330,0"</f>
        <v>330,0</v>
      </c>
      <c r="N13" s="7" t="str">
        <f>"12688,3027"</f>
        <v>12688,3027</v>
      </c>
      <c r="O13" s="6" t="s">
        <v>239</v>
      </c>
    </row>
    <row r="14" ht="12.75">
      <c r="B14" s="4" t="s">
        <v>24</v>
      </c>
    </row>
    <row r="15" ht="12.75">
      <c r="B15" s="4" t="s">
        <v>24</v>
      </c>
    </row>
  </sheetData>
  <sheetProtection/>
  <mergeCells count="15">
    <mergeCell ref="A8:L8"/>
    <mergeCell ref="A12:L12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4" bestFit="1" customWidth="1"/>
    <col min="2" max="2" width="24.75390625" style="4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15.375" style="4" bestFit="1" customWidth="1"/>
    <col min="7" max="7" width="11.25390625" style="5" customWidth="1"/>
    <col min="8" max="8" width="10.375" style="27" customWidth="1"/>
    <col min="9" max="9" width="7.875" style="5" bestFit="1" customWidth="1"/>
    <col min="10" max="10" width="9.375" style="5" bestFit="1" customWidth="1"/>
    <col min="11" max="11" width="20.375" style="4" customWidth="1"/>
    <col min="12" max="16384" width="9.125" style="3" customWidth="1"/>
  </cols>
  <sheetData>
    <row r="1" spans="1:11" s="2" customFormat="1" ht="28.5" customHeight="1">
      <c r="A1" s="33" t="s">
        <v>240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1.5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>
      <c r="A3" s="41" t="s">
        <v>0</v>
      </c>
      <c r="B3" s="49" t="s">
        <v>1</v>
      </c>
      <c r="C3" s="43" t="s">
        <v>2</v>
      </c>
      <c r="D3" s="43" t="s">
        <v>3</v>
      </c>
      <c r="E3" s="45" t="s">
        <v>4</v>
      </c>
      <c r="F3" s="45" t="s">
        <v>5</v>
      </c>
      <c r="G3" s="45" t="s">
        <v>203</v>
      </c>
      <c r="H3" s="45"/>
      <c r="I3" s="45" t="s">
        <v>136</v>
      </c>
      <c r="J3" s="45" t="s">
        <v>8</v>
      </c>
      <c r="K3" s="46" t="s">
        <v>9</v>
      </c>
    </row>
    <row r="4" spans="1:11" s="1" customFormat="1" ht="21" customHeight="1" thickBot="1">
      <c r="A4" s="42"/>
      <c r="B4" s="50"/>
      <c r="C4" s="44"/>
      <c r="D4" s="44"/>
      <c r="E4" s="44"/>
      <c r="F4" s="44"/>
      <c r="G4" s="32" t="s">
        <v>137</v>
      </c>
      <c r="H4" s="25" t="s">
        <v>138</v>
      </c>
      <c r="I4" s="44"/>
      <c r="J4" s="44"/>
      <c r="K4" s="47"/>
    </row>
    <row r="5" spans="1:8" ht="15">
      <c r="A5" s="48" t="s">
        <v>59</v>
      </c>
      <c r="B5" s="48"/>
      <c r="C5" s="48"/>
      <c r="D5" s="48"/>
      <c r="E5" s="48"/>
      <c r="F5" s="48"/>
      <c r="G5" s="48"/>
      <c r="H5" s="48"/>
    </row>
    <row r="6" spans="1:11" ht="12.75">
      <c r="A6" s="7" t="s">
        <v>11</v>
      </c>
      <c r="B6" s="6" t="s">
        <v>101</v>
      </c>
      <c r="C6" s="6" t="s">
        <v>102</v>
      </c>
      <c r="D6" s="6" t="s">
        <v>98</v>
      </c>
      <c r="E6" s="6" t="str">
        <f>"0,6250"</f>
        <v>0,6250</v>
      </c>
      <c r="F6" s="6" t="s">
        <v>94</v>
      </c>
      <c r="G6" s="7" t="s">
        <v>17</v>
      </c>
      <c r="H6" s="26">
        <v>20</v>
      </c>
      <c r="I6" s="7" t="str">
        <f>"2000,0"</f>
        <v>2000,0</v>
      </c>
      <c r="J6" s="7" t="str">
        <f>"1285,0000"</f>
        <v>1285,0000</v>
      </c>
      <c r="K6" s="6" t="s">
        <v>34</v>
      </c>
    </row>
    <row r="7" ht="12.75">
      <c r="B7" s="4" t="s">
        <v>24</v>
      </c>
    </row>
  </sheetData>
  <sheetProtection/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2021-12-23T16:39:01Z</dcterms:modified>
  <cp:category/>
  <cp:version/>
  <cp:contentType/>
  <cp:contentStatus/>
</cp:coreProperties>
</file>