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24240" windowHeight="13740" tabRatio="841" firstSheet="9" activeTab="12"/>
  </bookViews>
  <sheets>
    <sheet name="WRPF PL Raw DT" sheetId="1" r:id="rId1"/>
    <sheet name="WRPF PL Raw" sheetId="2" r:id="rId2"/>
    <sheet name="WRPF ПЛ Wraps DT" sheetId="3" r:id="rId3"/>
    <sheet name="WRPF PL Wraps" sheetId="4" r:id="rId4"/>
    <sheet name="WEPF PL SP DT" sheetId="5" r:id="rId5"/>
    <sheet name="WEPF PL SP" sheetId="6" r:id="rId6"/>
    <sheet name="WEPF PL MP" sheetId="7" r:id="rId7"/>
    <sheet name="WRPF PP Raw DT" sheetId="8" r:id="rId8"/>
    <sheet name="WRPF PP Raw" sheetId="9" r:id="rId9"/>
    <sheet name="WRPF BP Folk 1 DT" sheetId="10" r:id="rId10"/>
    <sheet name="WRPF BP Folk 1" sheetId="11" r:id="rId11"/>
    <sheet name="WRPF BP Folk 0,5 DT" sheetId="12" r:id="rId12"/>
    <sheet name="WRPF BP Folk 0.5" sheetId="13" r:id="rId13"/>
  </sheets>
  <definedNames/>
  <calcPr fullCalcOnLoad="1"/>
</workbook>
</file>

<file path=xl/sharedStrings.xml><?xml version="1.0" encoding="utf-8"?>
<sst xmlns="http://schemas.openxmlformats.org/spreadsheetml/2006/main" count="1274" uniqueCount="382">
  <si>
    <t>Eurasian Championship
WRPF Powerlfting Raw Doping Tested
Russia, Volghskiy. April 06-07, 2019.</t>
  </si>
  <si>
    <t>Place</t>
  </si>
  <si>
    <t>Name</t>
  </si>
  <si>
    <t>Age Class
DOB / Age</t>
  </si>
  <si>
    <t>Own 
bodyweight</t>
  </si>
  <si>
    <t>Wilks</t>
  </si>
  <si>
    <t>Country / City</t>
  </si>
  <si>
    <t>Squat</t>
  </si>
  <si>
    <t>Bench Press</t>
  </si>
  <si>
    <t>Deadlift</t>
  </si>
  <si>
    <t>Total</t>
  </si>
  <si>
    <t>Points</t>
  </si>
  <si>
    <t>Rec</t>
  </si>
  <si>
    <t>WEIGHT CLASS   52</t>
  </si>
  <si>
    <t>1</t>
  </si>
  <si>
    <t>Ulbutоvа Аlеnа</t>
  </si>
  <si>
    <t>Open (24.01.1994)/25</t>
  </si>
  <si>
    <t>51,00</t>
  </si>
  <si>
    <t>Russia / Saratov</t>
  </si>
  <si>
    <t>75,0</t>
  </si>
  <si>
    <t>80,0</t>
  </si>
  <si>
    <t>45,0</t>
  </si>
  <si>
    <t>47,5</t>
  </si>
  <si>
    <t>87,5</t>
  </si>
  <si>
    <t>92,5</t>
  </si>
  <si>
    <t>97,5</t>
  </si>
  <si>
    <t/>
  </si>
  <si>
    <t>WEIGHT CLASS   67.5</t>
  </si>
  <si>
    <t>Sеrеdintsеvа Таtyanа</t>
  </si>
  <si>
    <t>Open (01.06.1979)/39</t>
  </si>
  <si>
    <t>65,90</t>
  </si>
  <si>
    <t>Russia / Volgograd</t>
  </si>
  <si>
    <t>120,0</t>
  </si>
  <si>
    <t>125,0</t>
  </si>
  <si>
    <t>130,0</t>
  </si>
  <si>
    <t>65,0</t>
  </si>
  <si>
    <t>70,0</t>
  </si>
  <si>
    <t>72,5</t>
  </si>
  <si>
    <t>140,0</t>
  </si>
  <si>
    <t>145,0</t>
  </si>
  <si>
    <t>147,5</t>
  </si>
  <si>
    <t>Nеphеdоvа Еlеnа</t>
  </si>
  <si>
    <t>Masters 40-49 (04.05.1972)/46</t>
  </si>
  <si>
    <t>67,50</t>
  </si>
  <si>
    <t>90,0</t>
  </si>
  <si>
    <t>100,0</t>
  </si>
  <si>
    <t>77,5</t>
  </si>
  <si>
    <t>135,0</t>
  </si>
  <si>
    <t>142,5</t>
  </si>
  <si>
    <t>150,0</t>
  </si>
  <si>
    <t>160,0</t>
  </si>
  <si>
    <t>WEIGHT CLASS   75</t>
  </si>
  <si>
    <t>Pоdоbryaеvа Nаtаlya</t>
  </si>
  <si>
    <t>Teens 17-19 (27.12.2001)/17</t>
  </si>
  <si>
    <t>75,00</t>
  </si>
  <si>
    <t>105,0</t>
  </si>
  <si>
    <t>55,0</t>
  </si>
  <si>
    <t>57,5</t>
  </si>
  <si>
    <t>60,0</t>
  </si>
  <si>
    <t>117,5</t>
  </si>
  <si>
    <t>132,5</t>
  </si>
  <si>
    <t>2</t>
  </si>
  <si>
    <t>Kаlininа Аnаstаsiya</t>
  </si>
  <si>
    <t>Teens 17-19 (23.05.1999)/19</t>
  </si>
  <si>
    <t>71,40</t>
  </si>
  <si>
    <t>30,0</t>
  </si>
  <si>
    <t>32,5</t>
  </si>
  <si>
    <t>35,0</t>
  </si>
  <si>
    <t>85,0</t>
  </si>
  <si>
    <t>WEIGHT CLASS   60</t>
  </si>
  <si>
    <t>Shishkin Vаdim</t>
  </si>
  <si>
    <t>Teens 17-19 (08.12.2000)/18</t>
  </si>
  <si>
    <t>57,90</t>
  </si>
  <si>
    <t>-</t>
  </si>
  <si>
    <t>Krаеv Glеb</t>
  </si>
  <si>
    <t>Teens 17-19 (22.08.2001)/17</t>
  </si>
  <si>
    <t>65,60</t>
  </si>
  <si>
    <t>Upоrnikоv Vlаdislаv</t>
  </si>
  <si>
    <t>Teens 14-16 (11.04.2003)/15</t>
  </si>
  <si>
    <t>69,20</t>
  </si>
  <si>
    <t>110,0</t>
  </si>
  <si>
    <t>115,0</t>
  </si>
  <si>
    <t>Dеvlyashоv Stеpаn</t>
  </si>
  <si>
    <t>Junior (25.09.1998)/20</t>
  </si>
  <si>
    <t>73,40</t>
  </si>
  <si>
    <t>95,0</t>
  </si>
  <si>
    <t>175,0</t>
  </si>
  <si>
    <t>185,0</t>
  </si>
  <si>
    <t>190,0</t>
  </si>
  <si>
    <t>WEIGHT CLASS   90</t>
  </si>
  <si>
    <t>Priiymаkоv Аlеksаndr</t>
  </si>
  <si>
    <t>Junior (23.07.1995)/23</t>
  </si>
  <si>
    <t>84,70</t>
  </si>
  <si>
    <t>165,0</t>
  </si>
  <si>
    <t>205,0</t>
  </si>
  <si>
    <t>215,0</t>
  </si>
  <si>
    <t>Yandygаnоv Nikitа</t>
  </si>
  <si>
    <t>Junior (01.10.1995)/23</t>
  </si>
  <si>
    <t>84,40</t>
  </si>
  <si>
    <t xml:space="preserve">Russia / Birsk </t>
  </si>
  <si>
    <t>155,0</t>
  </si>
  <si>
    <t>162,5</t>
  </si>
  <si>
    <t>170,0</t>
  </si>
  <si>
    <t>122,5</t>
  </si>
  <si>
    <t>180,0</t>
  </si>
  <si>
    <t>Rоgаlskiiy Тimоphеiy</t>
  </si>
  <si>
    <t>Open (29.09.1991)/27</t>
  </si>
  <si>
    <t>88,80</t>
  </si>
  <si>
    <t>200,0</t>
  </si>
  <si>
    <t>WEIGHT CLASS   100</t>
  </si>
  <si>
    <t>Lutsеnkо Dеnis</t>
  </si>
  <si>
    <t>Teens 17-19 (29.01.2000)/19</t>
  </si>
  <si>
    <t>93,80</t>
  </si>
  <si>
    <t>202,5</t>
  </si>
  <si>
    <t>127,5</t>
  </si>
  <si>
    <t>Теrpаk Ilya</t>
  </si>
  <si>
    <t>Junior (09.07.1995)/23</t>
  </si>
  <si>
    <t>94,80</t>
  </si>
  <si>
    <t>137,5</t>
  </si>
  <si>
    <t>152,5</t>
  </si>
  <si>
    <t>157,5</t>
  </si>
  <si>
    <t>Ghidkоv Мikhаil</t>
  </si>
  <si>
    <t>Masters 40-49 (13.05.1973)/45</t>
  </si>
  <si>
    <t>98,70</t>
  </si>
  <si>
    <t>195,0</t>
  </si>
  <si>
    <t>WEIGHT CLASS   110</t>
  </si>
  <si>
    <t>Litvinоv Аlеksаndr</t>
  </si>
  <si>
    <t>Open (05.06.1979)/39</t>
  </si>
  <si>
    <t>104,00</t>
  </si>
  <si>
    <t>210,0</t>
  </si>
  <si>
    <t>220,0</t>
  </si>
  <si>
    <t>250,0</t>
  </si>
  <si>
    <t>260,0</t>
  </si>
  <si>
    <t>270,0</t>
  </si>
  <si>
    <t>Lyapustin Sеrgеiy</t>
  </si>
  <si>
    <t>Masters 40-49 (11.07.1976)/42</t>
  </si>
  <si>
    <t>107,70</t>
  </si>
  <si>
    <t>235,0</t>
  </si>
  <si>
    <t>WEIGHT CLASS   140</t>
  </si>
  <si>
    <t>Bоbrоvskiiy Kirill</t>
  </si>
  <si>
    <t>Open (16.02.1981)/38</t>
  </si>
  <si>
    <t>134,30</t>
  </si>
  <si>
    <t>230,0</t>
  </si>
  <si>
    <t>240,0</t>
  </si>
  <si>
    <t>275,0</t>
  </si>
  <si>
    <t>307,5</t>
  </si>
  <si>
    <t>Eurasian Championship
WRPF Powerlfting Raw
Russia, Volghskiy. April 06-07, 2019.</t>
  </si>
  <si>
    <t>WEIGHT CLASS   56</t>
  </si>
  <si>
    <t>Shilinа Оlgа</t>
  </si>
  <si>
    <t>Open (03.01.1983)/36</t>
  </si>
  <si>
    <t>54,50</t>
  </si>
  <si>
    <t>Russia / Astrakhan</t>
  </si>
  <si>
    <t>107,5</t>
  </si>
  <si>
    <t>50,0</t>
  </si>
  <si>
    <t>52,5</t>
  </si>
  <si>
    <t>WEIGHT CLASS   82.5</t>
  </si>
  <si>
    <t>Furаghkin Аrtеm</t>
  </si>
  <si>
    <t>Teens 14-16 (09.07.2006)/12</t>
  </si>
  <si>
    <t>81,50</t>
  </si>
  <si>
    <t>Russia / Volghskiy</t>
  </si>
  <si>
    <t>40,0</t>
  </si>
  <si>
    <t>Chеrеdnichеnkо Аlеksаndr</t>
  </si>
  <si>
    <t>Open (04.02.1991)/28</t>
  </si>
  <si>
    <t>89,90</t>
  </si>
  <si>
    <t>Russia / Mikhaylovka</t>
  </si>
  <si>
    <t>262,5</t>
  </si>
  <si>
    <t>267,5</t>
  </si>
  <si>
    <t>300,0</t>
  </si>
  <si>
    <t>320,0</t>
  </si>
  <si>
    <t>Bеskrоvnyiy Ilya</t>
  </si>
  <si>
    <t>Teens 14-16 (27.03.2004)/15</t>
  </si>
  <si>
    <t>90,80</t>
  </si>
  <si>
    <t>Blаgоdyrеv Аlеksеiy</t>
  </si>
  <si>
    <t>Open (03.07.1991)/27</t>
  </si>
  <si>
    <t>97,80</t>
  </si>
  <si>
    <t>245,0</t>
  </si>
  <si>
    <t>252,5</t>
  </si>
  <si>
    <t>177,5</t>
  </si>
  <si>
    <t>280,0</t>
  </si>
  <si>
    <t>287,5</t>
  </si>
  <si>
    <t>Bоndаrеnkо Nikitа</t>
  </si>
  <si>
    <t>Open (22.09.1987)/31</t>
  </si>
  <si>
    <t>98,50</t>
  </si>
  <si>
    <t>Lоzychеnkо Kоnstаntin</t>
  </si>
  <si>
    <t>Masters 40-49 (11.01.1972)/47</t>
  </si>
  <si>
    <t>96,60</t>
  </si>
  <si>
    <t>Rаgimоv Gаdghi</t>
  </si>
  <si>
    <t>Open (13.12.1989)/29</t>
  </si>
  <si>
    <t>108,60</t>
  </si>
  <si>
    <t xml:space="preserve">Russia / Derbent </t>
  </si>
  <si>
    <t>285,0</t>
  </si>
  <si>
    <t>305,0</t>
  </si>
  <si>
    <t>212,5</t>
  </si>
  <si>
    <t>290,0</t>
  </si>
  <si>
    <t>310,0</t>
  </si>
  <si>
    <t>WEIGHT CLASS   125</t>
  </si>
  <si>
    <t>Bеspоludin Аntоn</t>
  </si>
  <si>
    <t>Masters 40-49 (27.12.1976)/42</t>
  </si>
  <si>
    <t>118,00</t>
  </si>
  <si>
    <t>Eurasian Championship
WRPF Powerlfting Knee Wraps Doping Tested
Russia, Volghskiy. April 06-07, 2019.</t>
  </si>
  <si>
    <t>WEIGHT CLASS   48</t>
  </si>
  <si>
    <t>Маlikоvа Sеlbi</t>
  </si>
  <si>
    <t>Open (18.08.1993)/25</t>
  </si>
  <si>
    <t>47,90</t>
  </si>
  <si>
    <t>37,5</t>
  </si>
  <si>
    <t>Sоrоkinа Vаlеriya</t>
  </si>
  <si>
    <t>Teens 17-19 (28.12.2000)/18</t>
  </si>
  <si>
    <t>52,00</t>
  </si>
  <si>
    <t>67,5</t>
  </si>
  <si>
    <t>Open (28.12.2000)/18</t>
  </si>
  <si>
    <t>Shilеnkоvа Lаrisа</t>
  </si>
  <si>
    <t>Open (23.02.1979)/40</t>
  </si>
  <si>
    <t>55,90</t>
  </si>
  <si>
    <t>Ghаdеnоv Vlаdimir</t>
  </si>
  <si>
    <t>Open (01.06.1987)/31</t>
  </si>
  <si>
    <t>66,40</t>
  </si>
  <si>
    <t>Nikiphоrоv Rоmаn</t>
  </si>
  <si>
    <t>Open (27.11.1986)/32</t>
  </si>
  <si>
    <t>82,00</t>
  </si>
  <si>
    <t>225,0</t>
  </si>
  <si>
    <t>232,5</t>
  </si>
  <si>
    <t>Оmеlyanеnkо Sеrgеiy</t>
  </si>
  <si>
    <t>Open (12.12.1989)/29</t>
  </si>
  <si>
    <t>86,60</t>
  </si>
  <si>
    <t>167,5</t>
  </si>
  <si>
    <t>Khаrkin Маksim</t>
  </si>
  <si>
    <t>Open (04.07.1985)/33</t>
  </si>
  <si>
    <t>94,10</t>
  </si>
  <si>
    <t>217,5</t>
  </si>
  <si>
    <t>Khаchаtryan Аrtur</t>
  </si>
  <si>
    <t>Open (22.05.1992)/26</t>
  </si>
  <si>
    <t>97,30</t>
  </si>
  <si>
    <t>Russia / Kamyshyn</t>
  </si>
  <si>
    <t>102,5</t>
  </si>
  <si>
    <t>Zеlеnukin Pеtr</t>
  </si>
  <si>
    <t>Open (13.02.1995)/24</t>
  </si>
  <si>
    <t>104,80</t>
  </si>
  <si>
    <t>255,0</t>
  </si>
  <si>
    <t>265,0</t>
  </si>
  <si>
    <t>Chibаsоv Eduаrd</t>
  </si>
  <si>
    <t>Open (26.07.1993)/25</t>
  </si>
  <si>
    <t>103,00</t>
  </si>
  <si>
    <t>182,5</t>
  </si>
  <si>
    <t>3</t>
  </si>
  <si>
    <t>Ivаschеnkо Kоnstаntin</t>
  </si>
  <si>
    <t>Open (06.02.1991)/28</t>
  </si>
  <si>
    <t>103,60</t>
  </si>
  <si>
    <t xml:space="preserve">Best lifters </t>
  </si>
  <si>
    <t xml:space="preserve">Women </t>
  </si>
  <si>
    <t xml:space="preserve">Open </t>
  </si>
  <si>
    <t xml:space="preserve">Name </t>
  </si>
  <si>
    <t xml:space="preserve">Age Class </t>
  </si>
  <si>
    <t>Weight class</t>
  </si>
  <si>
    <t xml:space="preserve">Total </t>
  </si>
  <si>
    <t>52</t>
  </si>
  <si>
    <t>315,0</t>
  </si>
  <si>
    <t>56</t>
  </si>
  <si>
    <t>48</t>
  </si>
  <si>
    <t>Men</t>
  </si>
  <si>
    <t>67.5</t>
  </si>
  <si>
    <t>610,0</t>
  </si>
  <si>
    <t>110</t>
  </si>
  <si>
    <t>690,0</t>
  </si>
  <si>
    <t>82.5</t>
  </si>
  <si>
    <t>560,0</t>
  </si>
  <si>
    <t>Eurasian Championship
WRPF Powerlfting Knee Wraps
Russia, Volghskiy. April 06-07, 2019.</t>
  </si>
  <si>
    <t>Nаghmudinоvа Snighаnа</t>
  </si>
  <si>
    <t>Junior (28.10.1995)/23</t>
  </si>
  <si>
    <t>55,70</t>
  </si>
  <si>
    <t>Моrоzоvа Маrinа</t>
  </si>
  <si>
    <t>Open (09.10.1978)/40</t>
  </si>
  <si>
    <t>112,5</t>
  </si>
  <si>
    <t>Stupnikоv Rоmаn</t>
  </si>
  <si>
    <t>Open (21.01.1988)/31</t>
  </si>
  <si>
    <t>82,40</t>
  </si>
  <si>
    <t xml:space="preserve">Russia / Stavropol </t>
  </si>
  <si>
    <t>295,0</t>
  </si>
  <si>
    <t>325,5</t>
  </si>
  <si>
    <t>Kоrsunоv Ilya</t>
  </si>
  <si>
    <t>Open (27.06.1990)/28</t>
  </si>
  <si>
    <t>81,70</t>
  </si>
  <si>
    <t>Chеrеdnichеnkо Ivаn</t>
  </si>
  <si>
    <t>Open (11.09.1995)/23</t>
  </si>
  <si>
    <t>79,90</t>
  </si>
  <si>
    <t>Kukаnоv Аlеksаndr</t>
  </si>
  <si>
    <t>Junior (09.10.1997)/21</t>
  </si>
  <si>
    <t>83,50</t>
  </si>
  <si>
    <t>Vоrоbеv Igоr</t>
  </si>
  <si>
    <t>Open (18.06.1994)/24</t>
  </si>
  <si>
    <t>98,80</t>
  </si>
  <si>
    <t>335,0</t>
  </si>
  <si>
    <t>345,0</t>
  </si>
  <si>
    <t>340,0</t>
  </si>
  <si>
    <t>Оsipоv Nikоlаiy</t>
  </si>
  <si>
    <t>Open (31.07.1991)/27</t>
  </si>
  <si>
    <t>97,60</t>
  </si>
  <si>
    <t>Vypоv Sеrgеiy</t>
  </si>
  <si>
    <t>Open (17.08.1981)/37</t>
  </si>
  <si>
    <t>96,50</t>
  </si>
  <si>
    <t>Nuyanzin Маksim</t>
  </si>
  <si>
    <t>Junior (10.10.1996)/22</t>
  </si>
  <si>
    <t>138,00</t>
  </si>
  <si>
    <t>813,0</t>
  </si>
  <si>
    <t>100</t>
  </si>
  <si>
    <t>860,0</t>
  </si>
  <si>
    <t>662,5</t>
  </si>
  <si>
    <t>Eurasian Championship
WEPF Powerlfting Single Ply Doping Tested
Russia, Volghskiy. April 06-07, 2019.</t>
  </si>
  <si>
    <t>Kulibаеv Аrmаn</t>
  </si>
  <si>
    <t>Open (18.01.1983)/36</t>
  </si>
  <si>
    <t>74,10</t>
  </si>
  <si>
    <t xml:space="preserve">Russia / Krasnodar </t>
  </si>
  <si>
    <t>Nеphеdоv Еvgеniiy</t>
  </si>
  <si>
    <t>Masters 40-49 (11.12.1973)/45</t>
  </si>
  <si>
    <t>Eurasian Championship
WEPF Powerlfting Single Ply
Russia, Volghskiy. April 06-07, 2019.</t>
  </si>
  <si>
    <t>Еmеlyanоv Аlеksеiy</t>
  </si>
  <si>
    <t>Open (25.02.1983)/36</t>
  </si>
  <si>
    <t>80,20</t>
  </si>
  <si>
    <t>Russia / Serpukhov</t>
  </si>
  <si>
    <t>187,5</t>
  </si>
  <si>
    <t>272,5</t>
  </si>
  <si>
    <t>Eurasian Championship
WEPF Powerlfting Multi Ply
Russia, Volghskiy. April 06-07, 2019.</t>
  </si>
  <si>
    <t>Маkееv Аndrеiy</t>
  </si>
  <si>
    <t>Open (28.12.1985)/33</t>
  </si>
  <si>
    <t>106,10</t>
  </si>
  <si>
    <t>Eurasian Championship
WRPF Push Pull Raw Doping Tested
Russia, Volghskiy. April 06-07, 2019.</t>
  </si>
  <si>
    <t>Bоndаrеnkо Liubоv</t>
  </si>
  <si>
    <t>Open (23.03.1991)/28</t>
  </si>
  <si>
    <t>51,50</t>
  </si>
  <si>
    <t>Stеpkinа Bеllа</t>
  </si>
  <si>
    <t>Open (22.10.1978)/40</t>
  </si>
  <si>
    <t>73,60</t>
  </si>
  <si>
    <t>62,5</t>
  </si>
  <si>
    <t>Аphаnаsеv Еvgеniiy</t>
  </si>
  <si>
    <t>Open (22.04.1988)/30</t>
  </si>
  <si>
    <t>73,00</t>
  </si>
  <si>
    <t>Russia / Kotelnikovo</t>
  </si>
  <si>
    <t>237,5</t>
  </si>
  <si>
    <t>Kruglоv Vlаdimir</t>
  </si>
  <si>
    <t>Open (17.03.1983)/36</t>
  </si>
  <si>
    <t>99,90</t>
  </si>
  <si>
    <t>Eurasian Championship
WRPF Push Pull Raw
Russia, Volghskiy. April 06-07, 2019.</t>
  </si>
  <si>
    <t>Маlinоvskаya Viktоriya</t>
  </si>
  <si>
    <t>Open (05.10.1983)/35</t>
  </si>
  <si>
    <t>68,60</t>
  </si>
  <si>
    <t>Gоriunоv Vlаdimir</t>
  </si>
  <si>
    <t>Masters 60-69 (02.02.1953)/66</t>
  </si>
  <si>
    <t>83,40</t>
  </si>
  <si>
    <t>Yakushеvа Yanа</t>
  </si>
  <si>
    <t>Open (22.10.1990)/28</t>
  </si>
  <si>
    <t>51,80</t>
  </si>
  <si>
    <t>Аkhmеdоv Аsаph</t>
  </si>
  <si>
    <t>Masters 50-59 (23.07.1965)/53</t>
  </si>
  <si>
    <t>86,80</t>
  </si>
  <si>
    <t>Russia / Pallasovka</t>
  </si>
  <si>
    <t>25,0</t>
  </si>
  <si>
    <t>27,5</t>
  </si>
  <si>
    <t>Spiridоnоk Stаnislаv</t>
  </si>
  <si>
    <t>Open (06.10.1986)/32</t>
  </si>
  <si>
    <t>87,20</t>
  </si>
  <si>
    <t>Gloss</t>
  </si>
  <si>
    <t>Eurasian Championship
WRPF "Folk" Bench Press (own bw) Doping Tested
Russia, Volghskiy. April 06-07, 2019.</t>
  </si>
  <si>
    <t>bp multi-repeat</t>
  </si>
  <si>
    <t>Tonnage</t>
  </si>
  <si>
    <t>bodyweight</t>
  </si>
  <si>
    <t>reps</t>
  </si>
  <si>
    <t>Bоchаrnikоv Dmitriiy</t>
  </si>
  <si>
    <t>Open (05.06.1990)/28</t>
  </si>
  <si>
    <t>Eurasian Championship
WRPF "Folk" Bench Press (own bw)
Russia, Volghskiy. April 06-07, 2019.</t>
  </si>
  <si>
    <t>Reps</t>
  </si>
  <si>
    <t>Аdаmоvich Аlеksаndr</t>
  </si>
  <si>
    <t>Open (23.12.1970)/48</t>
  </si>
  <si>
    <t>84,10</t>
  </si>
  <si>
    <t>Masters 40-49 (23.12.1970)/48</t>
  </si>
  <si>
    <t>Таrаvаrоv Vаsiliiy</t>
  </si>
  <si>
    <t>Open (16.12.1981)/37</t>
  </si>
  <si>
    <t>92,20</t>
  </si>
  <si>
    <t>Dubоvkа/Vоlgоgrаdskаya оblаst</t>
  </si>
  <si>
    <t>Eurasian Championship
WRPF "Folk" Bench Press (1/2 own bw) Doping Tested
Russia, Volghskiy. April 06-07, 2019.</t>
  </si>
  <si>
    <t>Eurasian Championship
WRPF "Folk" Bench Press (1/2 own bw)
Russia, Volghskiy. April 06-07, 2019.</t>
  </si>
  <si>
    <t>Lеliuk Dmitriiy</t>
  </si>
  <si>
    <t>Teens 13-19 (28.01.2003)/16</t>
  </si>
  <si>
    <t>45,90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</si>
</sst>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F29" sqref="F29"/>
    </sheetView>
  </sheetViews>
  <sheetFormatPr defaultColWidth="9.125" defaultRowHeight="12.75"/>
  <cols>
    <col min="1" max="1" width="7.375" style="6" bestFit="1" customWidth="1"/>
    <col min="2" max="2" width="20.375" style="5" bestFit="1" customWidth="1"/>
    <col min="3" max="3" width="27.875" style="5" customWidth="1"/>
    <col min="4" max="4" width="16.00390625" style="5" customWidth="1"/>
    <col min="5" max="5" width="10.375" style="5" bestFit="1" customWidth="1"/>
    <col min="6" max="6" width="31.75390625" style="5" bestFit="1" customWidth="1"/>
    <col min="7" max="9" width="5.375" style="6" bestFit="1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8" width="5.375" style="6" bestFit="1" customWidth="1"/>
    <col min="19" max="19" width="7.875" style="28" bestFit="1" customWidth="1"/>
    <col min="20" max="20" width="8.375" style="6" bestFit="1" customWidth="1"/>
    <col min="21" max="16384" width="9.125" style="3" customWidth="1"/>
  </cols>
  <sheetData>
    <row r="1" spans="1:20" s="2" customFormat="1" ht="28.5" customHeight="1">
      <c r="A1" s="38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52" t="s">
        <v>10</v>
      </c>
      <c r="T3" s="47" t="s">
        <v>11</v>
      </c>
    </row>
    <row r="4" spans="1:20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37">
        <v>1</v>
      </c>
      <c r="P4" s="37">
        <v>2</v>
      </c>
      <c r="Q4" s="37">
        <v>3</v>
      </c>
      <c r="R4" s="37" t="s">
        <v>12</v>
      </c>
      <c r="S4" s="53"/>
      <c r="T4" s="46"/>
    </row>
    <row r="5" spans="1:20" ht="15">
      <c r="A5" s="54" t="s">
        <v>13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2.75">
      <c r="A6" s="10" t="s">
        <v>14</v>
      </c>
      <c r="B6" s="7" t="s">
        <v>15</v>
      </c>
      <c r="C6" s="7" t="s">
        <v>16</v>
      </c>
      <c r="D6" s="7" t="s">
        <v>17</v>
      </c>
      <c r="E6" s="7" t="str">
        <f>"1,2654"</f>
        <v>1,2654</v>
      </c>
      <c r="F6" s="7" t="s">
        <v>18</v>
      </c>
      <c r="G6" s="9" t="s">
        <v>19</v>
      </c>
      <c r="H6" s="9" t="s">
        <v>19</v>
      </c>
      <c r="I6" s="8" t="s">
        <v>20</v>
      </c>
      <c r="J6" s="10"/>
      <c r="K6" s="9" t="s">
        <v>21</v>
      </c>
      <c r="L6" s="8" t="s">
        <v>21</v>
      </c>
      <c r="M6" s="9" t="s">
        <v>22</v>
      </c>
      <c r="N6" s="10"/>
      <c r="O6" s="8" t="s">
        <v>23</v>
      </c>
      <c r="P6" s="8" t="s">
        <v>24</v>
      </c>
      <c r="Q6" s="9" t="s">
        <v>25</v>
      </c>
      <c r="R6" s="10"/>
      <c r="S6" s="27" t="str">
        <f>"217,5"</f>
        <v>217,5</v>
      </c>
      <c r="T6" s="10" t="str">
        <f>"275,2245"</f>
        <v>275,2245</v>
      </c>
    </row>
    <row r="7" ht="12.75">
      <c r="B7" s="5" t="s">
        <v>26</v>
      </c>
    </row>
    <row r="8" spans="1:20" ht="15">
      <c r="A8" s="48" t="s">
        <v>27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13" t="s">
        <v>14</v>
      </c>
      <c r="B9" s="11" t="s">
        <v>28</v>
      </c>
      <c r="C9" s="11" t="s">
        <v>29</v>
      </c>
      <c r="D9" s="11" t="s">
        <v>30</v>
      </c>
      <c r="E9" s="11" t="str">
        <f>"1,0385"</f>
        <v>1,0385</v>
      </c>
      <c r="F9" s="11" t="s">
        <v>31</v>
      </c>
      <c r="G9" s="12" t="s">
        <v>32</v>
      </c>
      <c r="H9" s="12" t="s">
        <v>33</v>
      </c>
      <c r="I9" s="12" t="s">
        <v>34</v>
      </c>
      <c r="J9" s="13"/>
      <c r="K9" s="12" t="s">
        <v>35</v>
      </c>
      <c r="L9" s="12" t="s">
        <v>36</v>
      </c>
      <c r="M9" s="22" t="s">
        <v>37</v>
      </c>
      <c r="N9" s="13"/>
      <c r="O9" s="12" t="s">
        <v>38</v>
      </c>
      <c r="P9" s="12" t="s">
        <v>39</v>
      </c>
      <c r="Q9" s="12" t="s">
        <v>40</v>
      </c>
      <c r="R9" s="13"/>
      <c r="S9" s="29" t="str">
        <f>"347,5"</f>
        <v>347,5</v>
      </c>
      <c r="T9" s="13" t="str">
        <f>"360,8787"</f>
        <v>360,8787</v>
      </c>
    </row>
    <row r="10" spans="1:20" ht="12.75">
      <c r="A10" s="21" t="s">
        <v>14</v>
      </c>
      <c r="B10" s="18" t="s">
        <v>41</v>
      </c>
      <c r="C10" s="18" t="s">
        <v>42</v>
      </c>
      <c r="D10" s="18" t="s">
        <v>43</v>
      </c>
      <c r="E10" s="18" t="str">
        <f>"1,0206"</f>
        <v>1,0206</v>
      </c>
      <c r="F10" s="18" t="s">
        <v>31</v>
      </c>
      <c r="G10" s="19" t="s">
        <v>44</v>
      </c>
      <c r="H10" s="19" t="s">
        <v>25</v>
      </c>
      <c r="I10" s="19" t="s">
        <v>45</v>
      </c>
      <c r="J10" s="21"/>
      <c r="K10" s="19" t="s">
        <v>36</v>
      </c>
      <c r="L10" s="19" t="s">
        <v>19</v>
      </c>
      <c r="M10" s="19" t="s">
        <v>46</v>
      </c>
      <c r="N10" s="21"/>
      <c r="O10" s="19" t="s">
        <v>47</v>
      </c>
      <c r="P10" s="19" t="s">
        <v>48</v>
      </c>
      <c r="Q10" s="19" t="s">
        <v>49</v>
      </c>
      <c r="R10" s="20" t="s">
        <v>50</v>
      </c>
      <c r="S10" s="30" t="str">
        <f>"327,5"</f>
        <v>327,5</v>
      </c>
      <c r="T10" s="21" t="str">
        <f>"360,3177"</f>
        <v>360,3177</v>
      </c>
    </row>
    <row r="11" ht="12.75">
      <c r="B11" s="5" t="s">
        <v>26</v>
      </c>
    </row>
    <row r="12" spans="1:20" ht="15">
      <c r="A12" s="48" t="s">
        <v>51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2.75">
      <c r="A13" s="13" t="s">
        <v>14</v>
      </c>
      <c r="B13" s="11" t="s">
        <v>52</v>
      </c>
      <c r="C13" s="11" t="s">
        <v>53</v>
      </c>
      <c r="D13" s="11" t="s">
        <v>54</v>
      </c>
      <c r="E13" s="11" t="str">
        <f>"0,9506"</f>
        <v>0,9506</v>
      </c>
      <c r="F13" s="11" t="s">
        <v>31</v>
      </c>
      <c r="G13" s="12" t="s">
        <v>44</v>
      </c>
      <c r="H13" s="12" t="s">
        <v>25</v>
      </c>
      <c r="I13" s="22" t="s">
        <v>55</v>
      </c>
      <c r="J13" s="13"/>
      <c r="K13" s="12" t="s">
        <v>56</v>
      </c>
      <c r="L13" s="12" t="s">
        <v>57</v>
      </c>
      <c r="M13" s="22" t="s">
        <v>58</v>
      </c>
      <c r="N13" s="13"/>
      <c r="O13" s="12" t="s">
        <v>59</v>
      </c>
      <c r="P13" s="12" t="s">
        <v>33</v>
      </c>
      <c r="Q13" s="22" t="s">
        <v>60</v>
      </c>
      <c r="R13" s="13"/>
      <c r="S13" s="29" t="str">
        <f>"280,0"</f>
        <v>280,0</v>
      </c>
      <c r="T13" s="13" t="str">
        <f>"266,1680"</f>
        <v>266,1680</v>
      </c>
    </row>
    <row r="14" spans="1:20" ht="12.75">
      <c r="A14" s="21" t="s">
        <v>61</v>
      </c>
      <c r="B14" s="18" t="s">
        <v>62</v>
      </c>
      <c r="C14" s="18" t="s">
        <v>63</v>
      </c>
      <c r="D14" s="18" t="s">
        <v>64</v>
      </c>
      <c r="E14" s="18" t="str">
        <f>"0,9815"</f>
        <v>0,9815</v>
      </c>
      <c r="F14" s="18" t="s">
        <v>31</v>
      </c>
      <c r="G14" s="20" t="s">
        <v>36</v>
      </c>
      <c r="H14" s="19" t="s">
        <v>36</v>
      </c>
      <c r="I14" s="20" t="s">
        <v>20</v>
      </c>
      <c r="J14" s="21"/>
      <c r="K14" s="19" t="s">
        <v>65</v>
      </c>
      <c r="L14" s="19" t="s">
        <v>66</v>
      </c>
      <c r="M14" s="20" t="s">
        <v>67</v>
      </c>
      <c r="N14" s="21"/>
      <c r="O14" s="19" t="s">
        <v>19</v>
      </c>
      <c r="P14" s="19" t="s">
        <v>20</v>
      </c>
      <c r="Q14" s="19" t="s">
        <v>68</v>
      </c>
      <c r="R14" s="21"/>
      <c r="S14" s="30" t="str">
        <f>"187,5"</f>
        <v>187,5</v>
      </c>
      <c r="T14" s="21" t="str">
        <f>"184,0313"</f>
        <v>184,0313</v>
      </c>
    </row>
    <row r="15" ht="12.75">
      <c r="B15" s="5" t="s">
        <v>26</v>
      </c>
    </row>
    <row r="16" spans="1:20" ht="15">
      <c r="A16" s="48" t="s">
        <v>69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2.75">
      <c r="A17" s="10" t="s">
        <v>14</v>
      </c>
      <c r="B17" s="7" t="s">
        <v>70</v>
      </c>
      <c r="C17" s="7" t="s">
        <v>71</v>
      </c>
      <c r="D17" s="7" t="s">
        <v>72</v>
      </c>
      <c r="E17" s="7" t="str">
        <f>"0,8816"</f>
        <v>0,8816</v>
      </c>
      <c r="F17" s="7" t="s">
        <v>31</v>
      </c>
      <c r="G17" s="8" t="s">
        <v>32</v>
      </c>
      <c r="H17" s="9" t="s">
        <v>34</v>
      </c>
      <c r="I17" s="9" t="s">
        <v>34</v>
      </c>
      <c r="J17" s="10"/>
      <c r="K17" s="8" t="s">
        <v>20</v>
      </c>
      <c r="L17" s="9" t="s">
        <v>44</v>
      </c>
      <c r="M17" s="9" t="s">
        <v>44</v>
      </c>
      <c r="N17" s="10"/>
      <c r="O17" s="8" t="s">
        <v>32</v>
      </c>
      <c r="P17" s="8" t="s">
        <v>47</v>
      </c>
      <c r="Q17" s="8" t="s">
        <v>38</v>
      </c>
      <c r="R17" s="10"/>
      <c r="S17" s="27" t="str">
        <f>"340,0"</f>
        <v>340,0</v>
      </c>
      <c r="T17" s="10" t="str">
        <f>"299,7440"</f>
        <v>299,7440</v>
      </c>
    </row>
    <row r="18" ht="12.75">
      <c r="B18" s="5" t="s">
        <v>26</v>
      </c>
    </row>
    <row r="19" spans="1:20" ht="15">
      <c r="A19" s="48" t="s">
        <v>27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2.75">
      <c r="A20" s="10" t="s">
        <v>73</v>
      </c>
      <c r="B20" s="7" t="s">
        <v>74</v>
      </c>
      <c r="C20" s="7" t="s">
        <v>75</v>
      </c>
      <c r="D20" s="7" t="s">
        <v>76</v>
      </c>
      <c r="E20" s="7" t="str">
        <f>"0,7891"</f>
        <v>0,7891</v>
      </c>
      <c r="F20" s="7" t="s">
        <v>31</v>
      </c>
      <c r="G20" s="9" t="s">
        <v>38</v>
      </c>
      <c r="H20" s="9" t="s">
        <v>39</v>
      </c>
      <c r="I20" s="9" t="s">
        <v>39</v>
      </c>
      <c r="J20" s="10"/>
      <c r="K20" s="9"/>
      <c r="L20" s="10"/>
      <c r="M20" s="10"/>
      <c r="N20" s="10"/>
      <c r="O20" s="9"/>
      <c r="P20" s="10"/>
      <c r="Q20" s="10"/>
      <c r="R20" s="10"/>
      <c r="S20" s="27">
        <v>0</v>
      </c>
      <c r="T20" s="10" t="str">
        <f>"0,0000"</f>
        <v>0,0000</v>
      </c>
    </row>
    <row r="21" ht="12.75">
      <c r="B21" s="5" t="s">
        <v>26</v>
      </c>
    </row>
    <row r="22" spans="1:20" ht="15">
      <c r="A22" s="48" t="s">
        <v>51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2.75">
      <c r="A23" s="13" t="s">
        <v>14</v>
      </c>
      <c r="B23" s="11" t="s">
        <v>77</v>
      </c>
      <c r="C23" s="11" t="s">
        <v>78</v>
      </c>
      <c r="D23" s="11" t="s">
        <v>79</v>
      </c>
      <c r="E23" s="11" t="str">
        <f>"0,7561"</f>
        <v>0,7561</v>
      </c>
      <c r="F23" s="11" t="s">
        <v>31</v>
      </c>
      <c r="G23" s="12" t="s">
        <v>55</v>
      </c>
      <c r="H23" s="12" t="s">
        <v>80</v>
      </c>
      <c r="I23" s="12" t="s">
        <v>81</v>
      </c>
      <c r="J23" s="13"/>
      <c r="K23" s="12" t="s">
        <v>35</v>
      </c>
      <c r="L23" s="12" t="s">
        <v>36</v>
      </c>
      <c r="M23" s="22" t="s">
        <v>37</v>
      </c>
      <c r="N23" s="13"/>
      <c r="O23" s="12" t="s">
        <v>34</v>
      </c>
      <c r="P23" s="12" t="s">
        <v>38</v>
      </c>
      <c r="Q23" s="12" t="s">
        <v>39</v>
      </c>
      <c r="R23" s="13"/>
      <c r="S23" s="29" t="str">
        <f>"330,0"</f>
        <v>330,0</v>
      </c>
      <c r="T23" s="13" t="str">
        <f>"249,5130"</f>
        <v>249,5130</v>
      </c>
    </row>
    <row r="24" spans="1:20" ht="12.75">
      <c r="A24" s="21" t="s">
        <v>14</v>
      </c>
      <c r="B24" s="18" t="s">
        <v>82</v>
      </c>
      <c r="C24" s="18" t="s">
        <v>83</v>
      </c>
      <c r="D24" s="18" t="s">
        <v>84</v>
      </c>
      <c r="E24" s="18" t="str">
        <f>"0,7235"</f>
        <v>0,7235</v>
      </c>
      <c r="F24" s="18" t="s">
        <v>31</v>
      </c>
      <c r="G24" s="19" t="s">
        <v>38</v>
      </c>
      <c r="H24" s="19" t="s">
        <v>49</v>
      </c>
      <c r="I24" s="20" t="s">
        <v>50</v>
      </c>
      <c r="J24" s="21"/>
      <c r="K24" s="19" t="s">
        <v>85</v>
      </c>
      <c r="L24" s="19" t="s">
        <v>55</v>
      </c>
      <c r="M24" s="20" t="s">
        <v>80</v>
      </c>
      <c r="N24" s="21"/>
      <c r="O24" s="19" t="s">
        <v>86</v>
      </c>
      <c r="P24" s="19" t="s">
        <v>87</v>
      </c>
      <c r="Q24" s="19" t="s">
        <v>88</v>
      </c>
      <c r="R24" s="21"/>
      <c r="S24" s="30" t="str">
        <f>"445,0"</f>
        <v>445,0</v>
      </c>
      <c r="T24" s="21" t="str">
        <f>"321,9575"</f>
        <v>321,9575</v>
      </c>
    </row>
    <row r="25" ht="12.75">
      <c r="B25" s="5" t="s">
        <v>26</v>
      </c>
    </row>
    <row r="26" spans="1:20" ht="15">
      <c r="A26" s="48" t="s">
        <v>89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2.75">
      <c r="A27" s="13" t="s">
        <v>14</v>
      </c>
      <c r="B27" s="11" t="s">
        <v>90</v>
      </c>
      <c r="C27" s="11" t="s">
        <v>91</v>
      </c>
      <c r="D27" s="11" t="s">
        <v>92</v>
      </c>
      <c r="E27" s="11" t="str">
        <f>"0,6597"</f>
        <v>0,6597</v>
      </c>
      <c r="F27" s="11" t="s">
        <v>31</v>
      </c>
      <c r="G27" s="12" t="s">
        <v>93</v>
      </c>
      <c r="H27" s="12" t="s">
        <v>86</v>
      </c>
      <c r="I27" s="12" t="s">
        <v>87</v>
      </c>
      <c r="J27" s="13"/>
      <c r="K27" s="12" t="s">
        <v>47</v>
      </c>
      <c r="L27" s="12" t="s">
        <v>38</v>
      </c>
      <c r="M27" s="12" t="s">
        <v>39</v>
      </c>
      <c r="N27" s="13"/>
      <c r="O27" s="12" t="s">
        <v>88</v>
      </c>
      <c r="P27" s="12" t="s">
        <v>94</v>
      </c>
      <c r="Q27" s="12" t="s">
        <v>95</v>
      </c>
      <c r="R27" s="13"/>
      <c r="S27" s="29" t="str">
        <f>"545,0"</f>
        <v>545,0</v>
      </c>
      <c r="T27" s="13" t="str">
        <f>"359,5365"</f>
        <v>359,5365</v>
      </c>
    </row>
    <row r="28" spans="1:20" ht="12.75">
      <c r="A28" s="17" t="s">
        <v>61</v>
      </c>
      <c r="B28" s="14" t="s">
        <v>96</v>
      </c>
      <c r="C28" s="14" t="s">
        <v>97</v>
      </c>
      <c r="D28" s="14" t="s">
        <v>98</v>
      </c>
      <c r="E28" s="14" t="str">
        <f>"0,6610"</f>
        <v>0,6610</v>
      </c>
      <c r="F28" s="14" t="s">
        <v>99</v>
      </c>
      <c r="G28" s="15" t="s">
        <v>100</v>
      </c>
      <c r="H28" s="15" t="s">
        <v>101</v>
      </c>
      <c r="I28" s="15" t="s">
        <v>102</v>
      </c>
      <c r="J28" s="17"/>
      <c r="K28" s="15" t="s">
        <v>81</v>
      </c>
      <c r="L28" s="15" t="s">
        <v>103</v>
      </c>
      <c r="M28" s="15" t="s">
        <v>34</v>
      </c>
      <c r="N28" s="17"/>
      <c r="O28" s="15" t="s">
        <v>102</v>
      </c>
      <c r="P28" s="15" t="s">
        <v>104</v>
      </c>
      <c r="Q28" s="15" t="s">
        <v>88</v>
      </c>
      <c r="R28" s="17"/>
      <c r="S28" s="31" t="str">
        <f>"490,0"</f>
        <v>490,0</v>
      </c>
      <c r="T28" s="17" t="str">
        <f>"323,8900"</f>
        <v>323,8900</v>
      </c>
    </row>
    <row r="29" spans="1:20" ht="12.75">
      <c r="A29" s="21" t="s">
        <v>14</v>
      </c>
      <c r="B29" s="18" t="s">
        <v>105</v>
      </c>
      <c r="C29" s="18" t="s">
        <v>106</v>
      </c>
      <c r="D29" s="18" t="s">
        <v>107</v>
      </c>
      <c r="E29" s="18" t="str">
        <f>"0,6428"</f>
        <v>0,6428</v>
      </c>
      <c r="F29" s="18" t="s">
        <v>31</v>
      </c>
      <c r="G29" s="20" t="s">
        <v>102</v>
      </c>
      <c r="H29" s="19" t="s">
        <v>102</v>
      </c>
      <c r="I29" s="19" t="s">
        <v>88</v>
      </c>
      <c r="J29" s="21"/>
      <c r="K29" s="19" t="s">
        <v>34</v>
      </c>
      <c r="L29" s="19" t="s">
        <v>38</v>
      </c>
      <c r="M29" s="20" t="s">
        <v>49</v>
      </c>
      <c r="N29" s="21"/>
      <c r="O29" s="19" t="s">
        <v>88</v>
      </c>
      <c r="P29" s="19" t="s">
        <v>108</v>
      </c>
      <c r="Q29" s="19" t="s">
        <v>94</v>
      </c>
      <c r="R29" s="21"/>
      <c r="S29" s="30" t="str">
        <f>"535,0"</f>
        <v>535,0</v>
      </c>
      <c r="T29" s="21" t="str">
        <f>"343,8980"</f>
        <v>343,8980</v>
      </c>
    </row>
    <row r="30" ht="12.75">
      <c r="B30" s="5" t="s">
        <v>26</v>
      </c>
    </row>
    <row r="31" spans="1:20" ht="15">
      <c r="A31" s="48" t="s">
        <v>109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2.75">
      <c r="A32" s="13" t="s">
        <v>14</v>
      </c>
      <c r="B32" s="11" t="s">
        <v>110</v>
      </c>
      <c r="C32" s="11" t="s">
        <v>111</v>
      </c>
      <c r="D32" s="11" t="s">
        <v>112</v>
      </c>
      <c r="E32" s="11" t="str">
        <f>"0,6257"</f>
        <v>0,6257</v>
      </c>
      <c r="F32" s="11" t="s">
        <v>31</v>
      </c>
      <c r="G32" s="12" t="s">
        <v>104</v>
      </c>
      <c r="H32" s="12" t="s">
        <v>88</v>
      </c>
      <c r="I32" s="12" t="s">
        <v>113</v>
      </c>
      <c r="J32" s="13"/>
      <c r="K32" s="12" t="s">
        <v>114</v>
      </c>
      <c r="L32" s="12" t="s">
        <v>47</v>
      </c>
      <c r="M32" s="12" t="s">
        <v>38</v>
      </c>
      <c r="N32" s="13"/>
      <c r="O32" s="12" t="s">
        <v>88</v>
      </c>
      <c r="P32" s="12" t="s">
        <v>108</v>
      </c>
      <c r="Q32" s="12" t="s">
        <v>94</v>
      </c>
      <c r="R32" s="13"/>
      <c r="S32" s="29" t="str">
        <f>"547,5"</f>
        <v>547,5</v>
      </c>
      <c r="T32" s="13" t="str">
        <f>"342,5707"</f>
        <v>342,5707</v>
      </c>
    </row>
    <row r="33" spans="1:20" ht="12.75">
      <c r="A33" s="17" t="s">
        <v>14</v>
      </c>
      <c r="B33" s="14" t="s">
        <v>115</v>
      </c>
      <c r="C33" s="14" t="s">
        <v>116</v>
      </c>
      <c r="D33" s="14" t="s">
        <v>117</v>
      </c>
      <c r="E33" s="14" t="str">
        <f>"0,6226"</f>
        <v>0,6226</v>
      </c>
      <c r="F33" s="14" t="s">
        <v>31</v>
      </c>
      <c r="G33" s="15" t="s">
        <v>60</v>
      </c>
      <c r="H33" s="15" t="s">
        <v>118</v>
      </c>
      <c r="I33" s="15" t="s">
        <v>38</v>
      </c>
      <c r="J33" s="17"/>
      <c r="K33" s="16" t="s">
        <v>25</v>
      </c>
      <c r="L33" s="15" t="s">
        <v>25</v>
      </c>
      <c r="M33" s="15" t="s">
        <v>45</v>
      </c>
      <c r="N33" s="17"/>
      <c r="O33" s="15" t="s">
        <v>119</v>
      </c>
      <c r="P33" s="15" t="s">
        <v>120</v>
      </c>
      <c r="Q33" s="15" t="s">
        <v>101</v>
      </c>
      <c r="R33" s="17"/>
      <c r="S33" s="31" t="str">
        <f>"402,5"</f>
        <v>402,5</v>
      </c>
      <c r="T33" s="17" t="str">
        <f>"250,5965"</f>
        <v>250,5965</v>
      </c>
    </row>
    <row r="34" spans="1:20" ht="12.75">
      <c r="A34" s="21" t="s">
        <v>14</v>
      </c>
      <c r="B34" s="18" t="s">
        <v>121</v>
      </c>
      <c r="C34" s="18" t="s">
        <v>122</v>
      </c>
      <c r="D34" s="18" t="s">
        <v>123</v>
      </c>
      <c r="E34" s="18" t="str">
        <f>"0,6118"</f>
        <v>0,6118</v>
      </c>
      <c r="F34" s="18" t="s">
        <v>31</v>
      </c>
      <c r="G34" s="19" t="s">
        <v>86</v>
      </c>
      <c r="H34" s="20" t="s">
        <v>88</v>
      </c>
      <c r="I34" s="20" t="s">
        <v>88</v>
      </c>
      <c r="J34" s="21"/>
      <c r="K34" s="19" t="s">
        <v>39</v>
      </c>
      <c r="L34" s="19" t="s">
        <v>100</v>
      </c>
      <c r="M34" s="20" t="s">
        <v>50</v>
      </c>
      <c r="N34" s="21"/>
      <c r="O34" s="19" t="s">
        <v>124</v>
      </c>
      <c r="P34" s="19" t="s">
        <v>94</v>
      </c>
      <c r="Q34" s="19" t="s">
        <v>95</v>
      </c>
      <c r="R34" s="21"/>
      <c r="S34" s="30" t="str">
        <f>"545,0"</f>
        <v>545,0</v>
      </c>
      <c r="T34" s="21" t="str">
        <f>"353,4369"</f>
        <v>353,4369</v>
      </c>
    </row>
    <row r="35" ht="12.75">
      <c r="B35" s="5" t="s">
        <v>26</v>
      </c>
    </row>
    <row r="36" spans="1:20" ht="15">
      <c r="A36" s="48" t="s">
        <v>125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2.75">
      <c r="A37" s="13" t="s">
        <v>14</v>
      </c>
      <c r="B37" s="11" t="s">
        <v>126</v>
      </c>
      <c r="C37" s="11" t="s">
        <v>127</v>
      </c>
      <c r="D37" s="11" t="s">
        <v>128</v>
      </c>
      <c r="E37" s="11" t="str">
        <f>"0,5996"</f>
        <v>0,5996</v>
      </c>
      <c r="F37" s="11" t="s">
        <v>31</v>
      </c>
      <c r="G37" s="12" t="s">
        <v>108</v>
      </c>
      <c r="H37" s="12" t="s">
        <v>129</v>
      </c>
      <c r="I37" s="12" t="s">
        <v>130</v>
      </c>
      <c r="J37" s="13"/>
      <c r="K37" s="12" t="s">
        <v>33</v>
      </c>
      <c r="L37" s="12" t="s">
        <v>34</v>
      </c>
      <c r="M37" s="12" t="s">
        <v>47</v>
      </c>
      <c r="N37" s="13"/>
      <c r="O37" s="12" t="s">
        <v>131</v>
      </c>
      <c r="P37" s="12" t="s">
        <v>132</v>
      </c>
      <c r="Q37" s="12" t="s">
        <v>133</v>
      </c>
      <c r="R37" s="13"/>
      <c r="S37" s="29" t="str">
        <f>"625,0"</f>
        <v>625,0</v>
      </c>
      <c r="T37" s="13" t="str">
        <f>"374,7500"</f>
        <v>374,7500</v>
      </c>
    </row>
    <row r="38" spans="1:20" ht="12.75">
      <c r="A38" s="21" t="s">
        <v>14</v>
      </c>
      <c r="B38" s="18" t="s">
        <v>134</v>
      </c>
      <c r="C38" s="18" t="s">
        <v>135</v>
      </c>
      <c r="D38" s="18" t="s">
        <v>136</v>
      </c>
      <c r="E38" s="18" t="str">
        <f>"0,5924"</f>
        <v>0,5924</v>
      </c>
      <c r="F38" s="18" t="s">
        <v>99</v>
      </c>
      <c r="G38" s="19" t="s">
        <v>104</v>
      </c>
      <c r="H38" s="19" t="s">
        <v>108</v>
      </c>
      <c r="I38" s="19" t="s">
        <v>130</v>
      </c>
      <c r="J38" s="21"/>
      <c r="K38" s="19" t="s">
        <v>32</v>
      </c>
      <c r="L38" s="19" t="s">
        <v>34</v>
      </c>
      <c r="M38" s="19" t="s">
        <v>47</v>
      </c>
      <c r="N38" s="21"/>
      <c r="O38" s="19" t="s">
        <v>108</v>
      </c>
      <c r="P38" s="19" t="s">
        <v>137</v>
      </c>
      <c r="Q38" s="21"/>
      <c r="R38" s="21"/>
      <c r="S38" s="30" t="str">
        <f>"590,0"</f>
        <v>590,0</v>
      </c>
      <c r="T38" s="21" t="str">
        <f>"354,4092"</f>
        <v>354,4092</v>
      </c>
    </row>
    <row r="39" ht="12.75">
      <c r="B39" s="5" t="s">
        <v>26</v>
      </c>
    </row>
    <row r="40" spans="1:20" ht="15">
      <c r="A40" s="48" t="s">
        <v>138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2.75">
      <c r="A41" s="10" t="s">
        <v>14</v>
      </c>
      <c r="B41" s="7" t="s">
        <v>139</v>
      </c>
      <c r="C41" s="7" t="s">
        <v>140</v>
      </c>
      <c r="D41" s="7" t="s">
        <v>141</v>
      </c>
      <c r="E41" s="7" t="str">
        <f>"0,5624"</f>
        <v>0,5624</v>
      </c>
      <c r="F41" s="7" t="s">
        <v>99</v>
      </c>
      <c r="G41" s="8" t="s">
        <v>142</v>
      </c>
      <c r="H41" s="8" t="s">
        <v>143</v>
      </c>
      <c r="I41" s="8" t="s">
        <v>131</v>
      </c>
      <c r="J41" s="10"/>
      <c r="K41" s="8" t="s">
        <v>102</v>
      </c>
      <c r="L41" s="8" t="s">
        <v>104</v>
      </c>
      <c r="M41" s="8" t="s">
        <v>88</v>
      </c>
      <c r="N41" s="10"/>
      <c r="O41" s="8" t="s">
        <v>131</v>
      </c>
      <c r="P41" s="8" t="s">
        <v>144</v>
      </c>
      <c r="Q41" s="8" t="s">
        <v>145</v>
      </c>
      <c r="R41" s="10"/>
      <c r="S41" s="27" t="str">
        <f>"747,5"</f>
        <v>747,5</v>
      </c>
      <c r="T41" s="10" t="str">
        <f>"420,3940"</f>
        <v>420,3940</v>
      </c>
    </row>
    <row r="42" ht="12.75">
      <c r="B42" s="5" t="s">
        <v>26</v>
      </c>
    </row>
    <row r="43" ht="12.75">
      <c r="B43" s="5" t="s">
        <v>26</v>
      </c>
    </row>
    <row r="44" ht="12.75">
      <c r="B44" s="5" t="s">
        <v>26</v>
      </c>
    </row>
  </sheetData>
  <sheetProtection/>
  <mergeCells count="22">
    <mergeCell ref="A40:T40"/>
    <mergeCell ref="B3:B4"/>
    <mergeCell ref="A16:T16"/>
    <mergeCell ref="A19:T19"/>
    <mergeCell ref="A22:T22"/>
    <mergeCell ref="A26:T26"/>
    <mergeCell ref="A31:T31"/>
    <mergeCell ref="A36:T36"/>
    <mergeCell ref="S3:S4"/>
    <mergeCell ref="T3:T4"/>
    <mergeCell ref="A5:T5"/>
    <mergeCell ref="A8:T8"/>
    <mergeCell ref="A12:T12"/>
    <mergeCell ref="A1:T2"/>
    <mergeCell ref="A3:A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7.375" style="6" bestFit="1" customWidth="1"/>
    <col min="2" max="2" width="19.25390625" style="5" customWidth="1"/>
    <col min="3" max="3" width="28.375" style="5" bestFit="1" customWidth="1"/>
    <col min="4" max="4" width="13.375" style="5" customWidth="1"/>
    <col min="5" max="5" width="10.375" style="5" bestFit="1" customWidth="1"/>
    <col min="6" max="6" width="31.25390625" style="5" bestFit="1" customWidth="1"/>
    <col min="7" max="7" width="15.25390625" style="6" customWidth="1"/>
    <col min="8" max="8" width="17.875" style="26" customWidth="1"/>
    <col min="9" max="9" width="8.875" style="6" bestFit="1" customWidth="1"/>
    <col min="10" max="10" width="9.375" style="6" bestFit="1" customWidth="1"/>
    <col min="11" max="16384" width="9.125" style="3" customWidth="1"/>
  </cols>
  <sheetData>
    <row r="1" spans="1:10" s="2" customFormat="1" ht="28.5" customHeight="1">
      <c r="A1" s="38" t="s">
        <v>360</v>
      </c>
      <c r="B1" s="39"/>
      <c r="C1" s="40"/>
      <c r="D1" s="40"/>
      <c r="E1" s="40"/>
      <c r="F1" s="40"/>
      <c r="G1" s="40"/>
      <c r="H1" s="40"/>
      <c r="I1" s="40"/>
      <c r="J1" s="40"/>
    </row>
    <row r="2" spans="1:1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359</v>
      </c>
      <c r="F3" s="47" t="s">
        <v>6</v>
      </c>
      <c r="G3" s="47" t="s">
        <v>361</v>
      </c>
      <c r="H3" s="47"/>
      <c r="I3" s="47" t="s">
        <v>362</v>
      </c>
      <c r="J3" s="47" t="s">
        <v>11</v>
      </c>
    </row>
    <row r="4" spans="1:10" s="1" customFormat="1" ht="21" customHeight="1" thickBot="1">
      <c r="A4" s="44"/>
      <c r="B4" s="51"/>
      <c r="C4" s="46"/>
      <c r="D4" s="46"/>
      <c r="E4" s="46"/>
      <c r="F4" s="46"/>
      <c r="G4" s="37" t="s">
        <v>363</v>
      </c>
      <c r="H4" s="25" t="s">
        <v>364</v>
      </c>
      <c r="I4" s="46"/>
      <c r="J4" s="46"/>
    </row>
    <row r="5" spans="1:10" ht="15">
      <c r="A5" s="54" t="s">
        <v>89</v>
      </c>
      <c r="B5" s="54"/>
      <c r="C5" s="55"/>
      <c r="D5" s="55"/>
      <c r="E5" s="55"/>
      <c r="F5" s="55"/>
      <c r="G5" s="55"/>
      <c r="H5" s="55"/>
      <c r="I5" s="55"/>
      <c r="J5" s="55"/>
    </row>
    <row r="6" spans="1:10" ht="12.75">
      <c r="A6" s="13" t="s">
        <v>14</v>
      </c>
      <c r="B6" s="11" t="s">
        <v>365</v>
      </c>
      <c r="C6" s="11" t="s">
        <v>366</v>
      </c>
      <c r="D6" s="11" t="s">
        <v>98</v>
      </c>
      <c r="E6" s="11" t="str">
        <f>"0,6354"</f>
        <v>0,6354</v>
      </c>
      <c r="F6" s="11" t="s">
        <v>31</v>
      </c>
      <c r="G6" s="13" t="s">
        <v>68</v>
      </c>
      <c r="H6" s="32">
        <v>29</v>
      </c>
      <c r="I6" s="13" t="str">
        <f>"2465,0"</f>
        <v>2465,0</v>
      </c>
      <c r="J6" s="13" t="str">
        <f>"1566,2610"</f>
        <v>1566,2610</v>
      </c>
    </row>
    <row r="7" spans="1:10" ht="12.75">
      <c r="A7" s="21" t="s">
        <v>14</v>
      </c>
      <c r="B7" s="18" t="s">
        <v>350</v>
      </c>
      <c r="C7" s="18" t="s">
        <v>351</v>
      </c>
      <c r="D7" s="18" t="s">
        <v>352</v>
      </c>
      <c r="E7" s="18" t="str">
        <f>"0,6247"</f>
        <v>0,6247</v>
      </c>
      <c r="F7" s="18" t="s">
        <v>353</v>
      </c>
      <c r="G7" s="21" t="s">
        <v>23</v>
      </c>
      <c r="H7" s="33">
        <v>24</v>
      </c>
      <c r="I7" s="21" t="str">
        <f>"2100,0"</f>
        <v>2100,0</v>
      </c>
      <c r="J7" s="21" t="str">
        <f>"1553,1298"</f>
        <v>1553,1298</v>
      </c>
    </row>
    <row r="8" ht="12.75">
      <c r="B8" s="5" t="s">
        <v>26</v>
      </c>
    </row>
  </sheetData>
  <sheetProtection/>
  <mergeCells count="11">
    <mergeCell ref="A5:J5"/>
    <mergeCell ref="B3:B4"/>
    <mergeCell ref="A1:J2"/>
    <mergeCell ref="A3:A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17" sqref="D17"/>
    </sheetView>
  </sheetViews>
  <sheetFormatPr defaultColWidth="9.125" defaultRowHeight="12.75"/>
  <cols>
    <col min="1" max="1" width="7.375" style="6" bestFit="1" customWidth="1"/>
    <col min="2" max="2" width="21.125" style="5" customWidth="1"/>
    <col min="3" max="3" width="28.375" style="5" bestFit="1" customWidth="1"/>
    <col min="4" max="4" width="14.125" style="5" customWidth="1"/>
    <col min="5" max="5" width="10.375" style="5" bestFit="1" customWidth="1"/>
    <col min="6" max="6" width="31.75390625" style="5" bestFit="1" customWidth="1"/>
    <col min="7" max="7" width="12.125" style="6" customWidth="1"/>
    <col min="8" max="8" width="22.25390625" style="26" customWidth="1"/>
    <col min="9" max="9" width="8.875" style="6" bestFit="1" customWidth="1"/>
    <col min="10" max="10" width="9.375" style="6" bestFit="1" customWidth="1"/>
    <col min="11" max="16384" width="9.125" style="3" customWidth="1"/>
  </cols>
  <sheetData>
    <row r="1" spans="1:10" s="2" customFormat="1" ht="28.5" customHeight="1">
      <c r="A1" s="38" t="s">
        <v>367</v>
      </c>
      <c r="B1" s="39"/>
      <c r="C1" s="40"/>
      <c r="D1" s="40"/>
      <c r="E1" s="40"/>
      <c r="F1" s="40"/>
      <c r="G1" s="40"/>
      <c r="H1" s="40"/>
      <c r="I1" s="40"/>
      <c r="J1" s="40"/>
    </row>
    <row r="2" spans="1:1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359</v>
      </c>
      <c r="F3" s="47" t="s">
        <v>6</v>
      </c>
      <c r="G3" s="47" t="s">
        <v>361</v>
      </c>
      <c r="H3" s="47"/>
      <c r="I3" s="47" t="s">
        <v>362</v>
      </c>
      <c r="J3" s="47" t="s">
        <v>11</v>
      </c>
    </row>
    <row r="4" spans="1:10" s="1" customFormat="1" ht="21" customHeight="1" thickBot="1">
      <c r="A4" s="44"/>
      <c r="B4" s="51"/>
      <c r="C4" s="46"/>
      <c r="D4" s="46"/>
      <c r="E4" s="46"/>
      <c r="F4" s="46"/>
      <c r="G4" s="37" t="s">
        <v>363</v>
      </c>
      <c r="H4" s="25" t="s">
        <v>368</v>
      </c>
      <c r="I4" s="46"/>
      <c r="J4" s="46"/>
    </row>
    <row r="5" spans="1:10" ht="15">
      <c r="A5" s="54" t="s">
        <v>89</v>
      </c>
      <c r="B5" s="54"/>
      <c r="C5" s="55"/>
      <c r="D5" s="55"/>
      <c r="E5" s="55"/>
      <c r="F5" s="55"/>
      <c r="G5" s="55"/>
      <c r="H5" s="55"/>
      <c r="I5" s="55"/>
      <c r="J5" s="55"/>
    </row>
    <row r="6" spans="1:10" ht="12.75">
      <c r="A6" s="13" t="s">
        <v>14</v>
      </c>
      <c r="B6" s="11" t="s">
        <v>356</v>
      </c>
      <c r="C6" s="11" t="s">
        <v>357</v>
      </c>
      <c r="D6" s="11" t="s">
        <v>358</v>
      </c>
      <c r="E6" s="11" t="str">
        <f>"0,6230"</f>
        <v>0,6230</v>
      </c>
      <c r="F6" s="11" t="s">
        <v>31</v>
      </c>
      <c r="G6" s="13" t="s">
        <v>23</v>
      </c>
      <c r="H6" s="32">
        <v>28</v>
      </c>
      <c r="I6" s="13" t="str">
        <f>"2450,0"</f>
        <v>2450,0</v>
      </c>
      <c r="J6" s="13" t="str">
        <f>"1526,3501"</f>
        <v>1526,3501</v>
      </c>
    </row>
    <row r="7" spans="1:10" ht="12.75">
      <c r="A7" s="17" t="s">
        <v>61</v>
      </c>
      <c r="B7" s="14" t="s">
        <v>369</v>
      </c>
      <c r="C7" s="14" t="s">
        <v>370</v>
      </c>
      <c r="D7" s="14" t="s">
        <v>371</v>
      </c>
      <c r="E7" s="14" t="str">
        <f>"0,6368"</f>
        <v>0,6368</v>
      </c>
      <c r="F7" s="14" t="s">
        <v>31</v>
      </c>
      <c r="G7" s="17" t="s">
        <v>68</v>
      </c>
      <c r="H7" s="34">
        <v>24</v>
      </c>
      <c r="I7" s="17" t="str">
        <f>"2040,0"</f>
        <v>2040,0</v>
      </c>
      <c r="J7" s="17" t="str">
        <f>"1299,0720"</f>
        <v>1299,0720</v>
      </c>
    </row>
    <row r="8" spans="1:10" ht="12.75">
      <c r="A8" s="17" t="s">
        <v>14</v>
      </c>
      <c r="B8" s="14" t="s">
        <v>369</v>
      </c>
      <c r="C8" s="14" t="s">
        <v>372</v>
      </c>
      <c r="D8" s="14" t="s">
        <v>371</v>
      </c>
      <c r="E8" s="14" t="str">
        <f>"0,6368"</f>
        <v>0,6368</v>
      </c>
      <c r="F8" s="14" t="s">
        <v>31</v>
      </c>
      <c r="G8" s="17" t="s">
        <v>68</v>
      </c>
      <c r="H8" s="34">
        <v>24</v>
      </c>
      <c r="I8" s="17" t="str">
        <f>"2040,0"</f>
        <v>2040,0</v>
      </c>
      <c r="J8" s="17" t="str">
        <f>"1425,0820"</f>
        <v>1425,0820</v>
      </c>
    </row>
    <row r="9" spans="1:10" ht="12.75">
      <c r="A9" s="21" t="s">
        <v>14</v>
      </c>
      <c r="B9" s="18" t="s">
        <v>350</v>
      </c>
      <c r="C9" s="18" t="s">
        <v>351</v>
      </c>
      <c r="D9" s="18" t="s">
        <v>352</v>
      </c>
      <c r="E9" s="18" t="str">
        <f>"0,6247"</f>
        <v>0,6247</v>
      </c>
      <c r="F9" s="18" t="s">
        <v>353</v>
      </c>
      <c r="G9" s="21" t="s">
        <v>23</v>
      </c>
      <c r="H9" s="33">
        <v>25</v>
      </c>
      <c r="I9" s="21" t="str">
        <f>"2187,5"</f>
        <v>2187,5</v>
      </c>
      <c r="J9" s="21" t="str">
        <f>"1617,8435"</f>
        <v>1617,8435</v>
      </c>
    </row>
    <row r="10" ht="12.75">
      <c r="B10" s="5" t="s">
        <v>26</v>
      </c>
    </row>
    <row r="11" spans="1:10" ht="15">
      <c r="A11" s="48" t="s">
        <v>109</v>
      </c>
      <c r="B11" s="48"/>
      <c r="C11" s="49"/>
      <c r="D11" s="49"/>
      <c r="E11" s="49"/>
      <c r="F11" s="49"/>
      <c r="G11" s="49"/>
      <c r="H11" s="49"/>
      <c r="I11" s="49"/>
      <c r="J11" s="49"/>
    </row>
    <row r="12" spans="1:10" ht="12.75">
      <c r="A12" s="10" t="s">
        <v>14</v>
      </c>
      <c r="B12" s="7" t="s">
        <v>373</v>
      </c>
      <c r="C12" s="7" t="s">
        <v>374</v>
      </c>
      <c r="D12" s="7" t="s">
        <v>375</v>
      </c>
      <c r="E12" s="7" t="str">
        <f>"0,6040"</f>
        <v>0,6040</v>
      </c>
      <c r="F12" s="7" t="s">
        <v>376</v>
      </c>
      <c r="G12" s="10" t="s">
        <v>24</v>
      </c>
      <c r="H12" s="35">
        <v>21</v>
      </c>
      <c r="I12" s="10" t="str">
        <f>"1942,5"</f>
        <v>1942,5</v>
      </c>
      <c r="J12" s="10" t="str">
        <f>"1173,2699"</f>
        <v>1173,2699</v>
      </c>
    </row>
    <row r="13" ht="12.75">
      <c r="B13" s="5" t="s">
        <v>26</v>
      </c>
    </row>
  </sheetData>
  <sheetProtection/>
  <mergeCells count="12">
    <mergeCell ref="A5:J5"/>
    <mergeCell ref="A11:J11"/>
    <mergeCell ref="B3:B4"/>
    <mergeCell ref="A1:J2"/>
    <mergeCell ref="A3:A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2" sqref="H12"/>
    </sheetView>
  </sheetViews>
  <sheetFormatPr defaultColWidth="9.125" defaultRowHeight="12.75"/>
  <cols>
    <col min="1" max="1" width="7.375" style="5" bestFit="1" customWidth="1"/>
    <col min="2" max="2" width="24.00390625" style="5" customWidth="1"/>
    <col min="3" max="3" width="26.25390625" style="5" bestFit="1" customWidth="1"/>
    <col min="4" max="4" width="14.625" style="5" customWidth="1"/>
    <col min="5" max="5" width="10.375" style="5" bestFit="1" customWidth="1"/>
    <col min="6" max="6" width="29.875" style="5" bestFit="1" customWidth="1"/>
    <col min="7" max="7" width="14.75390625" style="6" customWidth="1"/>
    <col min="8" max="8" width="16.375" style="26" customWidth="1"/>
    <col min="9" max="9" width="8.875" style="6" bestFit="1" customWidth="1"/>
    <col min="10" max="10" width="9.375" style="6" bestFit="1" customWidth="1"/>
    <col min="11" max="16384" width="9.125" style="3" customWidth="1"/>
  </cols>
  <sheetData>
    <row r="1" spans="1:10" s="2" customFormat="1" ht="28.5" customHeight="1">
      <c r="A1" s="38" t="s">
        <v>377</v>
      </c>
      <c r="B1" s="39"/>
      <c r="C1" s="40"/>
      <c r="D1" s="40"/>
      <c r="E1" s="40"/>
      <c r="F1" s="40"/>
      <c r="G1" s="40"/>
      <c r="H1" s="40"/>
      <c r="I1" s="40"/>
      <c r="J1" s="40"/>
    </row>
    <row r="2" spans="1:1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359</v>
      </c>
      <c r="F3" s="47" t="s">
        <v>6</v>
      </c>
      <c r="G3" s="47" t="s">
        <v>361</v>
      </c>
      <c r="H3" s="47"/>
      <c r="I3" s="47" t="s">
        <v>362</v>
      </c>
      <c r="J3" s="47" t="s">
        <v>11</v>
      </c>
    </row>
    <row r="4" spans="1:10" s="1" customFormat="1" ht="21" customHeight="1" thickBot="1">
      <c r="A4" s="44"/>
      <c r="B4" s="51"/>
      <c r="C4" s="46"/>
      <c r="D4" s="46"/>
      <c r="E4" s="46"/>
      <c r="F4" s="46"/>
      <c r="G4" s="37" t="s">
        <v>363</v>
      </c>
      <c r="H4" s="25" t="s">
        <v>368</v>
      </c>
      <c r="I4" s="46"/>
      <c r="J4" s="46"/>
    </row>
    <row r="5" spans="1:10" ht="15">
      <c r="A5" s="54" t="s">
        <v>13</v>
      </c>
      <c r="B5" s="54"/>
      <c r="C5" s="55"/>
      <c r="D5" s="55"/>
      <c r="E5" s="55"/>
      <c r="F5" s="55"/>
      <c r="G5" s="55"/>
      <c r="H5" s="55"/>
      <c r="I5" s="55"/>
      <c r="J5" s="55"/>
    </row>
    <row r="6" spans="1:10" ht="12.75">
      <c r="A6" s="10" t="s">
        <v>14</v>
      </c>
      <c r="B6" s="7" t="s">
        <v>347</v>
      </c>
      <c r="C6" s="7" t="s">
        <v>348</v>
      </c>
      <c r="D6" s="7" t="s">
        <v>349</v>
      </c>
      <c r="E6" s="7" t="str">
        <f>"1,1110"</f>
        <v>1,1110</v>
      </c>
      <c r="F6" s="7" t="s">
        <v>31</v>
      </c>
      <c r="G6" s="10" t="s">
        <v>355</v>
      </c>
      <c r="H6" s="35">
        <v>37</v>
      </c>
      <c r="I6" s="10" t="str">
        <f>"1017,5"</f>
        <v>1017,5</v>
      </c>
      <c r="J6" s="10" t="str">
        <f>"1130,4424"</f>
        <v>1130,4424</v>
      </c>
    </row>
    <row r="7" ht="12.75">
      <c r="B7" s="5" t="s">
        <v>26</v>
      </c>
    </row>
  </sheetData>
  <sheetProtection/>
  <mergeCells count="11">
    <mergeCell ref="A5:J5"/>
    <mergeCell ref="B3:B4"/>
    <mergeCell ref="A1:J2"/>
    <mergeCell ref="A3:A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F16" sqref="F16"/>
    </sheetView>
  </sheetViews>
  <sheetFormatPr defaultColWidth="9.125" defaultRowHeight="12.75"/>
  <cols>
    <col min="1" max="1" width="7.375" style="5" bestFit="1" customWidth="1"/>
    <col min="2" max="2" width="21.00390625" style="5" customWidth="1"/>
    <col min="3" max="3" width="27.75390625" style="5" bestFit="1" customWidth="1"/>
    <col min="4" max="4" width="14.25390625" style="5" customWidth="1"/>
    <col min="5" max="5" width="10.375" style="5" bestFit="1" customWidth="1"/>
    <col min="6" max="6" width="33.00390625" style="5" bestFit="1" customWidth="1"/>
    <col min="7" max="7" width="12.00390625" style="6" customWidth="1"/>
    <col min="8" max="8" width="16.75390625" style="26" customWidth="1"/>
    <col min="9" max="9" width="12.75390625" style="6" customWidth="1"/>
    <col min="10" max="10" width="9.375" style="6" bestFit="1" customWidth="1"/>
    <col min="11" max="16384" width="9.125" style="3" customWidth="1"/>
  </cols>
  <sheetData>
    <row r="1" spans="1:10" s="2" customFormat="1" ht="28.5" customHeight="1">
      <c r="A1" s="38" t="s">
        <v>378</v>
      </c>
      <c r="B1" s="39"/>
      <c r="C1" s="40"/>
      <c r="D1" s="40"/>
      <c r="E1" s="40"/>
      <c r="F1" s="40"/>
      <c r="G1" s="40"/>
      <c r="H1" s="40"/>
      <c r="I1" s="40"/>
      <c r="J1" s="40"/>
    </row>
    <row r="2" spans="1:1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359</v>
      </c>
      <c r="F3" s="47" t="s">
        <v>6</v>
      </c>
      <c r="G3" s="47" t="s">
        <v>361</v>
      </c>
      <c r="H3" s="47"/>
      <c r="I3" s="47" t="s">
        <v>362</v>
      </c>
      <c r="J3" s="47" t="s">
        <v>11</v>
      </c>
    </row>
    <row r="4" spans="1:10" s="1" customFormat="1" ht="21" customHeight="1" thickBot="1">
      <c r="A4" s="44"/>
      <c r="B4" s="51"/>
      <c r="C4" s="46"/>
      <c r="D4" s="46"/>
      <c r="E4" s="46"/>
      <c r="F4" s="46"/>
      <c r="G4" s="37" t="s">
        <v>363</v>
      </c>
      <c r="H4" s="25" t="s">
        <v>368</v>
      </c>
      <c r="I4" s="46"/>
      <c r="J4" s="46"/>
    </row>
    <row r="5" spans="1:10" ht="15">
      <c r="A5" s="54" t="s">
        <v>13</v>
      </c>
      <c r="B5" s="54"/>
      <c r="C5" s="55"/>
      <c r="D5" s="55"/>
      <c r="E5" s="55"/>
      <c r="F5" s="55"/>
      <c r="G5" s="55"/>
      <c r="H5" s="55"/>
      <c r="I5" s="55"/>
      <c r="J5" s="55"/>
    </row>
    <row r="6" spans="1:10" ht="12.75">
      <c r="A6" s="10" t="s">
        <v>14</v>
      </c>
      <c r="B6" s="7" t="s">
        <v>379</v>
      </c>
      <c r="C6" s="7" t="s">
        <v>380</v>
      </c>
      <c r="D6" s="7" t="s">
        <v>381</v>
      </c>
      <c r="E6" s="7" t="str">
        <f>"1,1163"</f>
        <v>1,1163</v>
      </c>
      <c r="F6" s="7" t="s">
        <v>353</v>
      </c>
      <c r="G6" s="10" t="s">
        <v>354</v>
      </c>
      <c r="H6" s="35">
        <v>38</v>
      </c>
      <c r="I6" s="10" t="str">
        <f>"950,0"</f>
        <v>950,0</v>
      </c>
      <c r="J6" s="10" t="str">
        <f>"1060,4850"</f>
        <v>1060,4850</v>
      </c>
    </row>
    <row r="7" ht="12.75">
      <c r="B7" s="5" t="s">
        <v>26</v>
      </c>
    </row>
  </sheetData>
  <sheetProtection/>
  <mergeCells count="11">
    <mergeCell ref="A5:J5"/>
    <mergeCell ref="B3:B4"/>
    <mergeCell ref="A1:J2"/>
    <mergeCell ref="A3:A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F18" sqref="F18"/>
    </sheetView>
  </sheetViews>
  <sheetFormatPr defaultColWidth="9.125" defaultRowHeight="12.75"/>
  <cols>
    <col min="1" max="1" width="7.375" style="6" bestFit="1" customWidth="1"/>
    <col min="2" max="2" width="23.375" style="5" bestFit="1" customWidth="1"/>
    <col min="3" max="3" width="27.375" style="5" bestFit="1" customWidth="1"/>
    <col min="4" max="4" width="12.875" style="5" customWidth="1"/>
    <col min="5" max="5" width="10.375" style="5" bestFit="1" customWidth="1"/>
    <col min="6" max="6" width="31.375" style="5" bestFit="1" customWidth="1"/>
    <col min="7" max="9" width="5.375" style="6" bestFit="1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7" width="5.375" style="6" bestFit="1" customWidth="1"/>
    <col min="18" max="18" width="4.875" style="6" bestFit="1" customWidth="1"/>
    <col min="19" max="19" width="7.875" style="6" bestFit="1" customWidth="1"/>
    <col min="20" max="20" width="8.375" style="6" bestFit="1" customWidth="1"/>
    <col min="21" max="16384" width="9.125" style="3" customWidth="1"/>
  </cols>
  <sheetData>
    <row r="1" spans="1:20" s="2" customFormat="1" ht="28.5" customHeight="1">
      <c r="A1" s="38" t="s">
        <v>146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10</v>
      </c>
      <c r="T3" s="47" t="s">
        <v>11</v>
      </c>
    </row>
    <row r="4" spans="1:20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37">
        <v>1</v>
      </c>
      <c r="P4" s="37">
        <v>2</v>
      </c>
      <c r="Q4" s="37">
        <v>3</v>
      </c>
      <c r="R4" s="37" t="s">
        <v>12</v>
      </c>
      <c r="S4" s="46"/>
      <c r="T4" s="46"/>
    </row>
    <row r="5" spans="1:20" ht="15">
      <c r="A5" s="54" t="s">
        <v>147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2.75">
      <c r="A6" s="10" t="s">
        <v>14</v>
      </c>
      <c r="B6" s="7" t="s">
        <v>148</v>
      </c>
      <c r="C6" s="7" t="s">
        <v>149</v>
      </c>
      <c r="D6" s="7" t="s">
        <v>150</v>
      </c>
      <c r="E6" s="7" t="str">
        <f>"1,2019"</f>
        <v>1,2019</v>
      </c>
      <c r="F6" s="7" t="s">
        <v>151</v>
      </c>
      <c r="G6" s="8" t="s">
        <v>44</v>
      </c>
      <c r="H6" s="8" t="s">
        <v>45</v>
      </c>
      <c r="I6" s="8" t="s">
        <v>152</v>
      </c>
      <c r="J6" s="10"/>
      <c r="K6" s="8" t="s">
        <v>21</v>
      </c>
      <c r="L6" s="8" t="s">
        <v>153</v>
      </c>
      <c r="M6" s="8" t="s">
        <v>154</v>
      </c>
      <c r="N6" s="10"/>
      <c r="O6" s="8" t="s">
        <v>80</v>
      </c>
      <c r="P6" s="8" t="s">
        <v>33</v>
      </c>
      <c r="Q6" s="8" t="s">
        <v>60</v>
      </c>
      <c r="R6" s="10"/>
      <c r="S6" s="10" t="str">
        <f>"292,5"</f>
        <v>292,5</v>
      </c>
      <c r="T6" s="10" t="str">
        <f>"351,5558"</f>
        <v>351,5558</v>
      </c>
    </row>
    <row r="7" ht="12.75">
      <c r="B7" s="5" t="s">
        <v>26</v>
      </c>
    </row>
    <row r="8" spans="1:20" ht="15">
      <c r="A8" s="48" t="s">
        <v>155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10" t="s">
        <v>14</v>
      </c>
      <c r="B9" s="7" t="s">
        <v>156</v>
      </c>
      <c r="C9" s="7" t="s">
        <v>157</v>
      </c>
      <c r="D9" s="7" t="s">
        <v>158</v>
      </c>
      <c r="E9" s="7" t="str">
        <f>"0,6749"</f>
        <v>0,6749</v>
      </c>
      <c r="F9" s="7" t="s">
        <v>159</v>
      </c>
      <c r="G9" s="9" t="s">
        <v>58</v>
      </c>
      <c r="H9" s="8" t="s">
        <v>58</v>
      </c>
      <c r="I9" s="8" t="s">
        <v>36</v>
      </c>
      <c r="J9" s="10"/>
      <c r="K9" s="9" t="s">
        <v>160</v>
      </c>
      <c r="L9" s="8" t="s">
        <v>160</v>
      </c>
      <c r="M9" s="8" t="s">
        <v>21</v>
      </c>
      <c r="N9" s="10"/>
      <c r="O9" s="8" t="s">
        <v>58</v>
      </c>
      <c r="P9" s="8" t="s">
        <v>36</v>
      </c>
      <c r="Q9" s="8" t="s">
        <v>20</v>
      </c>
      <c r="R9" s="10"/>
      <c r="S9" s="10" t="str">
        <f>"195,0"</f>
        <v>195,0</v>
      </c>
      <c r="T9" s="10" t="str">
        <f>"131,6055"</f>
        <v>131,6055</v>
      </c>
    </row>
    <row r="10" ht="12.75">
      <c r="B10" s="5" t="s">
        <v>26</v>
      </c>
    </row>
    <row r="11" spans="1:20" ht="15">
      <c r="A11" s="48" t="s">
        <v>89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2.75">
      <c r="A12" s="10" t="s">
        <v>14</v>
      </c>
      <c r="B12" s="7" t="s">
        <v>161</v>
      </c>
      <c r="C12" s="7" t="s">
        <v>162</v>
      </c>
      <c r="D12" s="7" t="s">
        <v>163</v>
      </c>
      <c r="E12" s="7" t="str">
        <f>"0,6388"</f>
        <v>0,6388</v>
      </c>
      <c r="F12" s="7" t="s">
        <v>164</v>
      </c>
      <c r="G12" s="8" t="s">
        <v>131</v>
      </c>
      <c r="H12" s="8" t="s">
        <v>165</v>
      </c>
      <c r="I12" s="9" t="s">
        <v>166</v>
      </c>
      <c r="J12" s="10"/>
      <c r="K12" s="8" t="s">
        <v>104</v>
      </c>
      <c r="L12" s="8" t="s">
        <v>87</v>
      </c>
      <c r="M12" s="8" t="s">
        <v>88</v>
      </c>
      <c r="N12" s="10"/>
      <c r="O12" s="9" t="s">
        <v>167</v>
      </c>
      <c r="P12" s="8" t="s">
        <v>167</v>
      </c>
      <c r="Q12" s="9" t="s">
        <v>168</v>
      </c>
      <c r="R12" s="10"/>
      <c r="S12" s="10" t="str">
        <f>"752,5"</f>
        <v>752,5</v>
      </c>
      <c r="T12" s="10" t="str">
        <f>"480,6970"</f>
        <v>480,6970</v>
      </c>
    </row>
    <row r="13" ht="12.75">
      <c r="B13" s="5" t="s">
        <v>26</v>
      </c>
    </row>
    <row r="14" spans="1:20" ht="15">
      <c r="A14" s="48" t="s">
        <v>109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2.75">
      <c r="A15" s="13" t="s">
        <v>14</v>
      </c>
      <c r="B15" s="11" t="s">
        <v>169</v>
      </c>
      <c r="C15" s="11" t="s">
        <v>170</v>
      </c>
      <c r="D15" s="11" t="s">
        <v>171</v>
      </c>
      <c r="E15" s="11" t="str">
        <f>"0,6356"</f>
        <v>0,6356</v>
      </c>
      <c r="F15" s="11" t="s">
        <v>159</v>
      </c>
      <c r="G15" s="22" t="s">
        <v>20</v>
      </c>
      <c r="H15" s="12" t="s">
        <v>44</v>
      </c>
      <c r="I15" s="12" t="s">
        <v>55</v>
      </c>
      <c r="J15" s="13"/>
      <c r="K15" s="12" t="s">
        <v>153</v>
      </c>
      <c r="L15" s="12" t="s">
        <v>57</v>
      </c>
      <c r="M15" s="22" t="s">
        <v>58</v>
      </c>
      <c r="N15" s="13"/>
      <c r="O15" s="12" t="s">
        <v>80</v>
      </c>
      <c r="P15" s="12" t="s">
        <v>103</v>
      </c>
      <c r="Q15" s="12" t="s">
        <v>38</v>
      </c>
      <c r="R15" s="13"/>
      <c r="S15" s="13" t="str">
        <f>"302,5"</f>
        <v>302,5</v>
      </c>
      <c r="T15" s="13" t="str">
        <f>"192,2690"</f>
        <v>192,2690</v>
      </c>
    </row>
    <row r="16" spans="1:20" ht="12.75">
      <c r="A16" s="17" t="s">
        <v>14</v>
      </c>
      <c r="B16" s="14" t="s">
        <v>172</v>
      </c>
      <c r="C16" s="14" t="s">
        <v>173</v>
      </c>
      <c r="D16" s="14" t="s">
        <v>174</v>
      </c>
      <c r="E16" s="14" t="str">
        <f>"0,6142"</f>
        <v>0,6142</v>
      </c>
      <c r="F16" s="14" t="s">
        <v>164</v>
      </c>
      <c r="G16" s="15" t="s">
        <v>137</v>
      </c>
      <c r="H16" s="15" t="s">
        <v>175</v>
      </c>
      <c r="I16" s="15" t="s">
        <v>176</v>
      </c>
      <c r="J16" s="17"/>
      <c r="K16" s="15" t="s">
        <v>93</v>
      </c>
      <c r="L16" s="15" t="s">
        <v>177</v>
      </c>
      <c r="M16" s="15" t="s">
        <v>87</v>
      </c>
      <c r="N16" s="17"/>
      <c r="O16" s="15" t="s">
        <v>133</v>
      </c>
      <c r="P16" s="15" t="s">
        <v>178</v>
      </c>
      <c r="Q16" s="16" t="s">
        <v>179</v>
      </c>
      <c r="R16" s="17"/>
      <c r="S16" s="17" t="str">
        <f>"717,5"</f>
        <v>717,5</v>
      </c>
      <c r="T16" s="17" t="str">
        <f>"440,6885"</f>
        <v>440,6885</v>
      </c>
    </row>
    <row r="17" spans="1:20" ht="12.75">
      <c r="A17" s="17" t="s">
        <v>61</v>
      </c>
      <c r="B17" s="14" t="s">
        <v>180</v>
      </c>
      <c r="C17" s="14" t="s">
        <v>181</v>
      </c>
      <c r="D17" s="14" t="s">
        <v>182</v>
      </c>
      <c r="E17" s="14" t="str">
        <f>"0,6123"</f>
        <v>0,6123</v>
      </c>
      <c r="F17" s="14" t="s">
        <v>31</v>
      </c>
      <c r="G17" s="16" t="s">
        <v>49</v>
      </c>
      <c r="H17" s="15" t="s">
        <v>49</v>
      </c>
      <c r="I17" s="16" t="s">
        <v>50</v>
      </c>
      <c r="J17" s="17"/>
      <c r="K17" s="15" t="s">
        <v>45</v>
      </c>
      <c r="L17" s="16" t="s">
        <v>55</v>
      </c>
      <c r="M17" s="16" t="s">
        <v>55</v>
      </c>
      <c r="N17" s="17"/>
      <c r="O17" s="15" t="s">
        <v>88</v>
      </c>
      <c r="P17" s="16" t="s">
        <v>108</v>
      </c>
      <c r="Q17" s="16" t="s">
        <v>108</v>
      </c>
      <c r="R17" s="17"/>
      <c r="S17" s="17" t="str">
        <f>"440,0"</f>
        <v>440,0</v>
      </c>
      <c r="T17" s="17" t="str">
        <f>"269,4120"</f>
        <v>269,4120</v>
      </c>
    </row>
    <row r="18" spans="1:20" ht="12.75">
      <c r="A18" s="21" t="s">
        <v>14</v>
      </c>
      <c r="B18" s="18" t="s">
        <v>183</v>
      </c>
      <c r="C18" s="18" t="s">
        <v>184</v>
      </c>
      <c r="D18" s="18" t="s">
        <v>185</v>
      </c>
      <c r="E18" s="18" t="str">
        <f>"0,6174"</f>
        <v>0,6174</v>
      </c>
      <c r="F18" s="18" t="s">
        <v>31</v>
      </c>
      <c r="G18" s="19" t="s">
        <v>88</v>
      </c>
      <c r="H18" s="19" t="s">
        <v>108</v>
      </c>
      <c r="I18" s="19" t="s">
        <v>94</v>
      </c>
      <c r="J18" s="21"/>
      <c r="K18" s="19" t="s">
        <v>38</v>
      </c>
      <c r="L18" s="19" t="s">
        <v>39</v>
      </c>
      <c r="M18" s="19" t="s">
        <v>49</v>
      </c>
      <c r="N18" s="21"/>
      <c r="O18" s="19" t="s">
        <v>142</v>
      </c>
      <c r="P18" s="19" t="s">
        <v>143</v>
      </c>
      <c r="Q18" s="20" t="s">
        <v>175</v>
      </c>
      <c r="R18" s="21"/>
      <c r="S18" s="21" t="str">
        <f>"595,0"</f>
        <v>595,0</v>
      </c>
      <c r="T18" s="21" t="str">
        <f>"402,6189"</f>
        <v>402,6189</v>
      </c>
    </row>
    <row r="19" ht="12.75">
      <c r="B19" s="5" t="s">
        <v>26</v>
      </c>
    </row>
    <row r="20" spans="1:20" ht="15">
      <c r="A20" s="48" t="s">
        <v>125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2.75">
      <c r="A21" s="10" t="s">
        <v>14</v>
      </c>
      <c r="B21" s="7" t="s">
        <v>186</v>
      </c>
      <c r="C21" s="7" t="s">
        <v>187</v>
      </c>
      <c r="D21" s="7" t="s">
        <v>188</v>
      </c>
      <c r="E21" s="7" t="str">
        <f>"0,5909"</f>
        <v>0,5909</v>
      </c>
      <c r="F21" s="7" t="s">
        <v>189</v>
      </c>
      <c r="G21" s="8" t="s">
        <v>190</v>
      </c>
      <c r="H21" s="8" t="s">
        <v>167</v>
      </c>
      <c r="I21" s="8" t="s">
        <v>191</v>
      </c>
      <c r="J21" s="10"/>
      <c r="K21" s="8" t="s">
        <v>108</v>
      </c>
      <c r="L21" s="8" t="s">
        <v>129</v>
      </c>
      <c r="M21" s="9" t="s">
        <v>192</v>
      </c>
      <c r="N21" s="10"/>
      <c r="O21" s="8" t="s">
        <v>193</v>
      </c>
      <c r="P21" s="8" t="s">
        <v>145</v>
      </c>
      <c r="Q21" s="8" t="s">
        <v>194</v>
      </c>
      <c r="R21" s="10"/>
      <c r="S21" s="10" t="str">
        <f>"825,0"</f>
        <v>825,0</v>
      </c>
      <c r="T21" s="10" t="str">
        <f>"487,4925"</f>
        <v>487,4925</v>
      </c>
    </row>
    <row r="22" ht="12.75">
      <c r="B22" s="5" t="s">
        <v>26</v>
      </c>
    </row>
    <row r="23" spans="1:20" ht="15">
      <c r="A23" s="48" t="s">
        <v>195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2.75">
      <c r="A24" s="10" t="s">
        <v>14</v>
      </c>
      <c r="B24" s="7" t="s">
        <v>196</v>
      </c>
      <c r="C24" s="7" t="s">
        <v>197</v>
      </c>
      <c r="D24" s="7" t="s">
        <v>198</v>
      </c>
      <c r="E24" s="7" t="str">
        <f>"0,5772"</f>
        <v>0,5772</v>
      </c>
      <c r="F24" s="7" t="s">
        <v>159</v>
      </c>
      <c r="G24" s="8" t="s">
        <v>130</v>
      </c>
      <c r="H24" s="8" t="s">
        <v>142</v>
      </c>
      <c r="I24" s="8" t="s">
        <v>143</v>
      </c>
      <c r="J24" s="10"/>
      <c r="K24" s="8" t="s">
        <v>49</v>
      </c>
      <c r="L24" s="8" t="s">
        <v>50</v>
      </c>
      <c r="M24" s="9" t="s">
        <v>93</v>
      </c>
      <c r="N24" s="10"/>
      <c r="O24" s="8" t="s">
        <v>130</v>
      </c>
      <c r="P24" s="9" t="s">
        <v>142</v>
      </c>
      <c r="Q24" s="9" t="s">
        <v>142</v>
      </c>
      <c r="R24" s="10"/>
      <c r="S24" s="10" t="str">
        <f>"620,0"</f>
        <v>620,0</v>
      </c>
      <c r="T24" s="10" t="str">
        <f>"362,8741"</f>
        <v>362,8741</v>
      </c>
    </row>
    <row r="25" ht="12.75">
      <c r="B25" s="5" t="s">
        <v>26</v>
      </c>
    </row>
  </sheetData>
  <sheetProtection/>
  <mergeCells count="18">
    <mergeCell ref="A14:T14"/>
    <mergeCell ref="A20:T20"/>
    <mergeCell ref="A23:T23"/>
    <mergeCell ref="B3:B4"/>
    <mergeCell ref="S3:S4"/>
    <mergeCell ref="T3:T4"/>
    <mergeCell ref="A5:T5"/>
    <mergeCell ref="A8:T8"/>
    <mergeCell ref="A11:T11"/>
    <mergeCell ref="A1:T2"/>
    <mergeCell ref="A3:A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F25" sqref="F25"/>
    </sheetView>
  </sheetViews>
  <sheetFormatPr defaultColWidth="9.125" defaultRowHeight="12.75"/>
  <cols>
    <col min="1" max="1" width="7.375" style="6" bestFit="1" customWidth="1"/>
    <col min="2" max="2" width="20.25390625" style="5" bestFit="1" customWidth="1"/>
    <col min="3" max="3" width="27.875" style="5" customWidth="1"/>
    <col min="4" max="4" width="15.75390625" style="5" customWidth="1"/>
    <col min="5" max="5" width="10.375" style="5" bestFit="1" customWidth="1"/>
    <col min="6" max="6" width="31.75390625" style="5" bestFit="1" customWidth="1"/>
    <col min="7" max="9" width="5.375" style="6" bestFit="1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7" width="5.375" style="6" bestFit="1" customWidth="1"/>
    <col min="18" max="18" width="4.875" style="6" bestFit="1" customWidth="1"/>
    <col min="19" max="19" width="7.875" style="6" bestFit="1" customWidth="1"/>
    <col min="20" max="20" width="8.375" style="6" bestFit="1" customWidth="1"/>
    <col min="21" max="16384" width="9.125" style="3" customWidth="1"/>
  </cols>
  <sheetData>
    <row r="1" spans="1:20" s="2" customFormat="1" ht="28.5" customHeight="1">
      <c r="A1" s="38" t="s">
        <v>199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10</v>
      </c>
      <c r="T3" s="47" t="s">
        <v>11</v>
      </c>
    </row>
    <row r="4" spans="1:20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37">
        <v>1</v>
      </c>
      <c r="P4" s="37">
        <v>2</v>
      </c>
      <c r="Q4" s="37">
        <v>3</v>
      </c>
      <c r="R4" s="37" t="s">
        <v>12</v>
      </c>
      <c r="S4" s="46"/>
      <c r="T4" s="46"/>
    </row>
    <row r="5" spans="1:20" ht="15">
      <c r="A5" s="54" t="s">
        <v>200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2.75">
      <c r="A6" s="10" t="s">
        <v>14</v>
      </c>
      <c r="B6" s="7" t="s">
        <v>201</v>
      </c>
      <c r="C6" s="7" t="s">
        <v>202</v>
      </c>
      <c r="D6" s="7" t="s">
        <v>203</v>
      </c>
      <c r="E6" s="7" t="str">
        <f>"1,3265"</f>
        <v>1,3265</v>
      </c>
      <c r="F6" s="7" t="s">
        <v>31</v>
      </c>
      <c r="G6" s="8" t="s">
        <v>58</v>
      </c>
      <c r="H6" s="9" t="s">
        <v>36</v>
      </c>
      <c r="I6" s="8" t="s">
        <v>36</v>
      </c>
      <c r="J6" s="10"/>
      <c r="K6" s="8" t="s">
        <v>65</v>
      </c>
      <c r="L6" s="8" t="s">
        <v>204</v>
      </c>
      <c r="M6" s="9" t="s">
        <v>160</v>
      </c>
      <c r="N6" s="10"/>
      <c r="O6" s="8" t="s">
        <v>45</v>
      </c>
      <c r="P6" s="8" t="s">
        <v>80</v>
      </c>
      <c r="Q6" s="9" t="s">
        <v>59</v>
      </c>
      <c r="R6" s="10"/>
      <c r="S6" s="10" t="str">
        <f>"217,5"</f>
        <v>217,5</v>
      </c>
      <c r="T6" s="10" t="str">
        <f>"288,5138"</f>
        <v>288,5138</v>
      </c>
    </row>
    <row r="7" ht="12.75">
      <c r="B7" s="5" t="s">
        <v>26</v>
      </c>
    </row>
    <row r="8" spans="1:20" ht="15">
      <c r="A8" s="48" t="s">
        <v>13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13" t="s">
        <v>14</v>
      </c>
      <c r="B9" s="11" t="s">
        <v>205</v>
      </c>
      <c r="C9" s="11" t="s">
        <v>206</v>
      </c>
      <c r="D9" s="11" t="s">
        <v>207</v>
      </c>
      <c r="E9" s="11" t="str">
        <f>"1,2466"</f>
        <v>1,2466</v>
      </c>
      <c r="F9" s="11" t="s">
        <v>31</v>
      </c>
      <c r="G9" s="12" t="s">
        <v>25</v>
      </c>
      <c r="H9" s="22" t="s">
        <v>55</v>
      </c>
      <c r="I9" s="12" t="s">
        <v>80</v>
      </c>
      <c r="J9" s="13"/>
      <c r="K9" s="12" t="s">
        <v>35</v>
      </c>
      <c r="L9" s="12" t="s">
        <v>208</v>
      </c>
      <c r="M9" s="22" t="s">
        <v>36</v>
      </c>
      <c r="N9" s="13"/>
      <c r="O9" s="22" t="s">
        <v>33</v>
      </c>
      <c r="P9" s="12" t="s">
        <v>34</v>
      </c>
      <c r="Q9" s="12" t="s">
        <v>118</v>
      </c>
      <c r="R9" s="13"/>
      <c r="S9" s="13" t="str">
        <f>"315,0"</f>
        <v>315,0</v>
      </c>
      <c r="T9" s="13" t="str">
        <f>"392,6790"</f>
        <v>392,6790</v>
      </c>
    </row>
    <row r="10" spans="1:20" ht="12.75">
      <c r="A10" s="21" t="s">
        <v>14</v>
      </c>
      <c r="B10" s="18" t="s">
        <v>205</v>
      </c>
      <c r="C10" s="18" t="s">
        <v>209</v>
      </c>
      <c r="D10" s="18" t="s">
        <v>207</v>
      </c>
      <c r="E10" s="18" t="str">
        <f>"1,2466"</f>
        <v>1,2466</v>
      </c>
      <c r="F10" s="18" t="s">
        <v>31</v>
      </c>
      <c r="G10" s="19" t="s">
        <v>25</v>
      </c>
      <c r="H10" s="20" t="s">
        <v>55</v>
      </c>
      <c r="I10" s="19" t="s">
        <v>80</v>
      </c>
      <c r="J10" s="21"/>
      <c r="K10" s="19" t="s">
        <v>35</v>
      </c>
      <c r="L10" s="19" t="s">
        <v>208</v>
      </c>
      <c r="M10" s="20" t="s">
        <v>36</v>
      </c>
      <c r="N10" s="21"/>
      <c r="O10" s="20" t="s">
        <v>33</v>
      </c>
      <c r="P10" s="19" t="s">
        <v>34</v>
      </c>
      <c r="Q10" s="19" t="s">
        <v>118</v>
      </c>
      <c r="R10" s="21"/>
      <c r="S10" s="21" t="str">
        <f>"315,0"</f>
        <v>315,0</v>
      </c>
      <c r="T10" s="21" t="str">
        <f>"392,6790"</f>
        <v>392,6790</v>
      </c>
    </row>
    <row r="11" ht="12.75">
      <c r="B11" s="5" t="s">
        <v>26</v>
      </c>
    </row>
    <row r="12" spans="1:20" ht="15">
      <c r="A12" s="48" t="s">
        <v>147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2.75">
      <c r="A13" s="10" t="s">
        <v>14</v>
      </c>
      <c r="B13" s="7" t="s">
        <v>210</v>
      </c>
      <c r="C13" s="7" t="s">
        <v>211</v>
      </c>
      <c r="D13" s="7" t="s">
        <v>212</v>
      </c>
      <c r="E13" s="7" t="str">
        <f>"1,1783"</f>
        <v>1,1783</v>
      </c>
      <c r="F13" s="7" t="s">
        <v>31</v>
      </c>
      <c r="G13" s="9" t="s">
        <v>85</v>
      </c>
      <c r="H13" s="8" t="s">
        <v>45</v>
      </c>
      <c r="I13" s="8" t="s">
        <v>80</v>
      </c>
      <c r="J13" s="10"/>
      <c r="K13" s="8" t="s">
        <v>153</v>
      </c>
      <c r="L13" s="8" t="s">
        <v>56</v>
      </c>
      <c r="M13" s="9" t="s">
        <v>57</v>
      </c>
      <c r="N13" s="10"/>
      <c r="O13" s="8" t="s">
        <v>45</v>
      </c>
      <c r="P13" s="8" t="s">
        <v>80</v>
      </c>
      <c r="Q13" s="8" t="s">
        <v>32</v>
      </c>
      <c r="R13" s="10"/>
      <c r="S13" s="10" t="str">
        <f>"285,0"</f>
        <v>285,0</v>
      </c>
      <c r="T13" s="10" t="str">
        <f>"335,8155"</f>
        <v>335,8155</v>
      </c>
    </row>
    <row r="14" ht="12.75">
      <c r="B14" s="5" t="s">
        <v>26</v>
      </c>
    </row>
    <row r="15" spans="1:20" ht="15">
      <c r="A15" s="48" t="s">
        <v>51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2.75">
      <c r="A16" s="10" t="s">
        <v>14</v>
      </c>
      <c r="B16" s="7" t="s">
        <v>52</v>
      </c>
      <c r="C16" s="7" t="s">
        <v>53</v>
      </c>
      <c r="D16" s="7" t="s">
        <v>54</v>
      </c>
      <c r="E16" s="7" t="str">
        <f>"0,9506"</f>
        <v>0,9506</v>
      </c>
      <c r="F16" s="7" t="s">
        <v>31</v>
      </c>
      <c r="G16" s="8" t="s">
        <v>44</v>
      </c>
      <c r="H16" s="8" t="s">
        <v>25</v>
      </c>
      <c r="I16" s="9" t="s">
        <v>55</v>
      </c>
      <c r="J16" s="10"/>
      <c r="K16" s="8" t="s">
        <v>56</v>
      </c>
      <c r="L16" s="8" t="s">
        <v>57</v>
      </c>
      <c r="M16" s="9" t="s">
        <v>58</v>
      </c>
      <c r="N16" s="10"/>
      <c r="O16" s="8" t="s">
        <v>59</v>
      </c>
      <c r="P16" s="8" t="s">
        <v>33</v>
      </c>
      <c r="Q16" s="9" t="s">
        <v>60</v>
      </c>
      <c r="R16" s="10"/>
      <c r="S16" s="10" t="str">
        <f>"280,0"</f>
        <v>280,0</v>
      </c>
      <c r="T16" s="10" t="str">
        <f>"266,1680"</f>
        <v>266,1680</v>
      </c>
    </row>
    <row r="17" ht="12.75">
      <c r="B17" s="5" t="s">
        <v>26</v>
      </c>
    </row>
    <row r="18" spans="1:20" ht="15">
      <c r="A18" s="48" t="s">
        <v>27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2.75">
      <c r="A19" s="10" t="s">
        <v>14</v>
      </c>
      <c r="B19" s="7" t="s">
        <v>213</v>
      </c>
      <c r="C19" s="7" t="s">
        <v>214</v>
      </c>
      <c r="D19" s="7" t="s">
        <v>215</v>
      </c>
      <c r="E19" s="7" t="str">
        <f>"0,7813"</f>
        <v>0,7813</v>
      </c>
      <c r="F19" s="7" t="s">
        <v>31</v>
      </c>
      <c r="G19" s="9" t="s">
        <v>143</v>
      </c>
      <c r="H19" s="8" t="s">
        <v>143</v>
      </c>
      <c r="I19" s="8" t="s">
        <v>131</v>
      </c>
      <c r="J19" s="10"/>
      <c r="K19" s="8" t="s">
        <v>34</v>
      </c>
      <c r="L19" s="9" t="s">
        <v>38</v>
      </c>
      <c r="M19" s="8" t="s">
        <v>38</v>
      </c>
      <c r="N19" s="10"/>
      <c r="O19" s="8" t="s">
        <v>130</v>
      </c>
      <c r="P19" s="9" t="s">
        <v>143</v>
      </c>
      <c r="Q19" s="10"/>
      <c r="R19" s="10"/>
      <c r="S19" s="10" t="str">
        <f>"610,0"</f>
        <v>610,0</v>
      </c>
      <c r="T19" s="10" t="str">
        <f>"476,5930"</f>
        <v>476,5930</v>
      </c>
    </row>
    <row r="20" ht="12.75">
      <c r="B20" s="5" t="s">
        <v>26</v>
      </c>
    </row>
    <row r="21" spans="1:20" ht="15">
      <c r="A21" s="48" t="s">
        <v>155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2.75">
      <c r="A22" s="10" t="s">
        <v>14</v>
      </c>
      <c r="B22" s="7" t="s">
        <v>216</v>
      </c>
      <c r="C22" s="7" t="s">
        <v>217</v>
      </c>
      <c r="D22" s="7" t="s">
        <v>218</v>
      </c>
      <c r="E22" s="7" t="str">
        <f>"0,6724"</f>
        <v>0,6724</v>
      </c>
      <c r="F22" s="7" t="s">
        <v>31</v>
      </c>
      <c r="G22" s="8" t="s">
        <v>124</v>
      </c>
      <c r="H22" s="9" t="s">
        <v>94</v>
      </c>
      <c r="I22" s="8" t="s">
        <v>129</v>
      </c>
      <c r="J22" s="10"/>
      <c r="K22" s="8" t="s">
        <v>32</v>
      </c>
      <c r="L22" s="9" t="s">
        <v>33</v>
      </c>
      <c r="M22" s="10"/>
      <c r="N22" s="10"/>
      <c r="O22" s="8" t="s">
        <v>219</v>
      </c>
      <c r="P22" s="8" t="s">
        <v>142</v>
      </c>
      <c r="Q22" s="9" t="s">
        <v>220</v>
      </c>
      <c r="R22" s="10"/>
      <c r="S22" s="10" t="str">
        <f>"560,0"</f>
        <v>560,0</v>
      </c>
      <c r="T22" s="10" t="str">
        <f>"376,5440"</f>
        <v>376,5440</v>
      </c>
    </row>
    <row r="23" ht="12.75">
      <c r="B23" s="5" t="s">
        <v>26</v>
      </c>
    </row>
    <row r="24" spans="1:20" ht="15">
      <c r="A24" s="48" t="s">
        <v>89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2.75">
      <c r="A25" s="10" t="s">
        <v>14</v>
      </c>
      <c r="B25" s="7" t="s">
        <v>221</v>
      </c>
      <c r="C25" s="7" t="s">
        <v>222</v>
      </c>
      <c r="D25" s="7" t="s">
        <v>223</v>
      </c>
      <c r="E25" s="7" t="str">
        <f>"0,6515"</f>
        <v>0,6515</v>
      </c>
      <c r="F25" s="7" t="s">
        <v>31</v>
      </c>
      <c r="G25" s="8" t="s">
        <v>50</v>
      </c>
      <c r="H25" s="8" t="s">
        <v>224</v>
      </c>
      <c r="I25" s="8" t="s">
        <v>86</v>
      </c>
      <c r="J25" s="10"/>
      <c r="K25" s="8" t="s">
        <v>44</v>
      </c>
      <c r="L25" s="8" t="s">
        <v>45</v>
      </c>
      <c r="M25" s="9" t="s">
        <v>55</v>
      </c>
      <c r="N25" s="10"/>
      <c r="O25" s="8" t="s">
        <v>50</v>
      </c>
      <c r="P25" s="8" t="s">
        <v>102</v>
      </c>
      <c r="Q25" s="8" t="s">
        <v>86</v>
      </c>
      <c r="R25" s="10"/>
      <c r="S25" s="10" t="str">
        <f>"450,0"</f>
        <v>450,0</v>
      </c>
      <c r="T25" s="10" t="str">
        <f>"293,1750"</f>
        <v>293,1750</v>
      </c>
    </row>
    <row r="26" ht="12.75">
      <c r="B26" s="5" t="s">
        <v>26</v>
      </c>
    </row>
    <row r="27" spans="1:20" ht="15">
      <c r="A27" s="48" t="s">
        <v>109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2.75">
      <c r="A28" s="13" t="s">
        <v>14</v>
      </c>
      <c r="B28" s="11" t="s">
        <v>225</v>
      </c>
      <c r="C28" s="11" t="s">
        <v>226</v>
      </c>
      <c r="D28" s="11" t="s">
        <v>227</v>
      </c>
      <c r="E28" s="11" t="str">
        <f>"0,6247"</f>
        <v>0,6247</v>
      </c>
      <c r="F28" s="11" t="s">
        <v>31</v>
      </c>
      <c r="G28" s="22" t="s">
        <v>108</v>
      </c>
      <c r="H28" s="12" t="s">
        <v>108</v>
      </c>
      <c r="I28" s="22" t="s">
        <v>129</v>
      </c>
      <c r="J28" s="13"/>
      <c r="K28" s="12" t="s">
        <v>32</v>
      </c>
      <c r="L28" s="12" t="s">
        <v>34</v>
      </c>
      <c r="M28" s="12" t="s">
        <v>47</v>
      </c>
      <c r="N28" s="13"/>
      <c r="O28" s="12" t="s">
        <v>108</v>
      </c>
      <c r="P28" s="12" t="s">
        <v>129</v>
      </c>
      <c r="Q28" s="22" t="s">
        <v>228</v>
      </c>
      <c r="R28" s="13"/>
      <c r="S28" s="13" t="str">
        <f>"545,0"</f>
        <v>545,0</v>
      </c>
      <c r="T28" s="13" t="str">
        <f>"340,4615"</f>
        <v>340,4615</v>
      </c>
    </row>
    <row r="29" spans="1:20" ht="12.75">
      <c r="A29" s="21" t="s">
        <v>61</v>
      </c>
      <c r="B29" s="18" t="s">
        <v>229</v>
      </c>
      <c r="C29" s="18" t="s">
        <v>230</v>
      </c>
      <c r="D29" s="18" t="s">
        <v>231</v>
      </c>
      <c r="E29" s="18" t="str">
        <f>"0,6155"</f>
        <v>0,6155</v>
      </c>
      <c r="F29" s="18" t="s">
        <v>232</v>
      </c>
      <c r="G29" s="20" t="s">
        <v>88</v>
      </c>
      <c r="H29" s="19" t="s">
        <v>88</v>
      </c>
      <c r="I29" s="19" t="s">
        <v>94</v>
      </c>
      <c r="J29" s="21"/>
      <c r="K29" s="19" t="s">
        <v>233</v>
      </c>
      <c r="L29" s="19" t="s">
        <v>80</v>
      </c>
      <c r="M29" s="20" t="s">
        <v>81</v>
      </c>
      <c r="N29" s="21"/>
      <c r="O29" s="19" t="s">
        <v>88</v>
      </c>
      <c r="P29" s="19" t="s">
        <v>94</v>
      </c>
      <c r="Q29" s="19" t="s">
        <v>129</v>
      </c>
      <c r="R29" s="21"/>
      <c r="S29" s="21" t="str">
        <f>"525,0"</f>
        <v>525,0</v>
      </c>
      <c r="T29" s="21" t="str">
        <f>"323,1375"</f>
        <v>323,1375</v>
      </c>
    </row>
    <row r="30" ht="12.75">
      <c r="B30" s="5" t="s">
        <v>26</v>
      </c>
    </row>
    <row r="31" spans="1:20" ht="15">
      <c r="A31" s="48" t="s">
        <v>125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2.75">
      <c r="A32" s="13" t="s">
        <v>14</v>
      </c>
      <c r="B32" s="11" t="s">
        <v>234</v>
      </c>
      <c r="C32" s="11" t="s">
        <v>235</v>
      </c>
      <c r="D32" s="11" t="s">
        <v>236</v>
      </c>
      <c r="E32" s="11" t="str">
        <f>"0,5980"</f>
        <v>0,5980</v>
      </c>
      <c r="F32" s="11" t="s">
        <v>31</v>
      </c>
      <c r="G32" s="22" t="s">
        <v>143</v>
      </c>
      <c r="H32" s="12" t="s">
        <v>143</v>
      </c>
      <c r="I32" s="12" t="s">
        <v>132</v>
      </c>
      <c r="J32" s="13"/>
      <c r="K32" s="12" t="s">
        <v>50</v>
      </c>
      <c r="L32" s="12" t="s">
        <v>102</v>
      </c>
      <c r="M32" s="12" t="s">
        <v>86</v>
      </c>
      <c r="N32" s="13"/>
      <c r="O32" s="12" t="s">
        <v>143</v>
      </c>
      <c r="P32" s="12" t="s">
        <v>237</v>
      </c>
      <c r="Q32" s="22" t="s">
        <v>238</v>
      </c>
      <c r="R32" s="13"/>
      <c r="S32" s="13" t="str">
        <f>"690,0"</f>
        <v>690,0</v>
      </c>
      <c r="T32" s="13" t="str">
        <f>"412,6200"</f>
        <v>412,6200</v>
      </c>
    </row>
    <row r="33" spans="1:20" ht="12.75">
      <c r="A33" s="17" t="s">
        <v>61</v>
      </c>
      <c r="B33" s="14" t="s">
        <v>239</v>
      </c>
      <c r="C33" s="14" t="s">
        <v>240</v>
      </c>
      <c r="D33" s="14" t="s">
        <v>241</v>
      </c>
      <c r="E33" s="14" t="str">
        <f>"0,6017"</f>
        <v>0,6017</v>
      </c>
      <c r="F33" s="14" t="s">
        <v>31</v>
      </c>
      <c r="G33" s="15" t="s">
        <v>242</v>
      </c>
      <c r="H33" s="15" t="s">
        <v>88</v>
      </c>
      <c r="I33" s="15" t="s">
        <v>108</v>
      </c>
      <c r="J33" s="17"/>
      <c r="K33" s="15" t="s">
        <v>32</v>
      </c>
      <c r="L33" s="15" t="s">
        <v>114</v>
      </c>
      <c r="M33" s="15" t="s">
        <v>34</v>
      </c>
      <c r="N33" s="17"/>
      <c r="O33" s="15" t="s">
        <v>93</v>
      </c>
      <c r="P33" s="15" t="s">
        <v>86</v>
      </c>
      <c r="Q33" s="15" t="s">
        <v>87</v>
      </c>
      <c r="R33" s="17"/>
      <c r="S33" s="17" t="str">
        <f>"515,0"</f>
        <v>515,0</v>
      </c>
      <c r="T33" s="17" t="str">
        <f>"309,8755"</f>
        <v>309,8755</v>
      </c>
    </row>
    <row r="34" spans="1:20" ht="12.75">
      <c r="A34" s="21" t="s">
        <v>243</v>
      </c>
      <c r="B34" s="18" t="s">
        <v>244</v>
      </c>
      <c r="C34" s="18" t="s">
        <v>245</v>
      </c>
      <c r="D34" s="18" t="s">
        <v>246</v>
      </c>
      <c r="E34" s="18" t="str">
        <f>"0,6004"</f>
        <v>0,6004</v>
      </c>
      <c r="F34" s="18" t="s">
        <v>31</v>
      </c>
      <c r="G34" s="20" t="s">
        <v>102</v>
      </c>
      <c r="H34" s="19" t="s">
        <v>86</v>
      </c>
      <c r="I34" s="20" t="s">
        <v>87</v>
      </c>
      <c r="J34" s="21"/>
      <c r="K34" s="19" t="s">
        <v>44</v>
      </c>
      <c r="L34" s="20" t="s">
        <v>45</v>
      </c>
      <c r="M34" s="19" t="s">
        <v>55</v>
      </c>
      <c r="N34" s="21"/>
      <c r="O34" s="19" t="s">
        <v>88</v>
      </c>
      <c r="P34" s="19" t="s">
        <v>129</v>
      </c>
      <c r="Q34" s="20" t="s">
        <v>219</v>
      </c>
      <c r="R34" s="21"/>
      <c r="S34" s="21" t="str">
        <f>"490,0"</f>
        <v>490,0</v>
      </c>
      <c r="T34" s="21" t="str">
        <f>"294,1960"</f>
        <v>294,1960</v>
      </c>
    </row>
    <row r="35" ht="12.75">
      <c r="B35" s="5" t="s">
        <v>26</v>
      </c>
    </row>
    <row r="36" ht="12.75">
      <c r="B36" s="5" t="s">
        <v>26</v>
      </c>
    </row>
    <row r="37" ht="12.75">
      <c r="B37" s="5" t="s">
        <v>26</v>
      </c>
    </row>
    <row r="38" spans="2:3" ht="18">
      <c r="B38" s="23" t="s">
        <v>247</v>
      </c>
      <c r="C38" s="23"/>
    </row>
    <row r="39" spans="1:6" ht="15">
      <c r="A39" s="5"/>
      <c r="B39" s="36" t="s">
        <v>248</v>
      </c>
      <c r="C39" s="36"/>
      <c r="F39" s="3"/>
    </row>
    <row r="40" spans="1:6" ht="12.75">
      <c r="A40" s="5"/>
      <c r="F40" s="3"/>
    </row>
    <row r="41" spans="1:6" ht="14.25">
      <c r="A41" s="5"/>
      <c r="B41" s="24"/>
      <c r="C41" s="24" t="s">
        <v>249</v>
      </c>
      <c r="F41" s="3"/>
    </row>
    <row r="42" spans="1:6" ht="15">
      <c r="A42" s="5"/>
      <c r="B42" s="4" t="s">
        <v>250</v>
      </c>
      <c r="C42" s="4" t="s">
        <v>251</v>
      </c>
      <c r="D42" s="4" t="s">
        <v>252</v>
      </c>
      <c r="E42" s="4" t="s">
        <v>253</v>
      </c>
      <c r="F42" s="3"/>
    </row>
    <row r="43" spans="1:6" ht="12.75">
      <c r="A43" s="5"/>
      <c r="B43" s="5" t="s">
        <v>205</v>
      </c>
      <c r="C43" s="5" t="s">
        <v>249</v>
      </c>
      <c r="D43" s="6" t="s">
        <v>254</v>
      </c>
      <c r="E43" s="6" t="s">
        <v>255</v>
      </c>
      <c r="F43" s="3"/>
    </row>
    <row r="44" spans="1:6" ht="12.75">
      <c r="A44" s="5"/>
      <c r="B44" s="5" t="s">
        <v>210</v>
      </c>
      <c r="C44" s="5" t="s">
        <v>249</v>
      </c>
      <c r="D44" s="6" t="s">
        <v>256</v>
      </c>
      <c r="E44" s="6" t="s">
        <v>190</v>
      </c>
      <c r="F44" s="3"/>
    </row>
    <row r="45" spans="1:6" ht="12.75">
      <c r="A45" s="5"/>
      <c r="B45" s="5" t="s">
        <v>201</v>
      </c>
      <c r="C45" s="5" t="s">
        <v>249</v>
      </c>
      <c r="D45" s="6" t="s">
        <v>257</v>
      </c>
      <c r="E45" s="6" t="s">
        <v>228</v>
      </c>
      <c r="F45" s="3"/>
    </row>
    <row r="46" spans="1:2" ht="12.75">
      <c r="A46" s="5"/>
      <c r="B46" s="5" t="s">
        <v>26</v>
      </c>
    </row>
    <row r="47" spans="2:3" ht="15">
      <c r="B47" s="36" t="s">
        <v>258</v>
      </c>
      <c r="C47" s="36"/>
    </row>
    <row r="48" spans="2:3" ht="14.25">
      <c r="B48" s="24"/>
      <c r="C48" s="24" t="s">
        <v>249</v>
      </c>
    </row>
    <row r="49" spans="2:5" ht="15">
      <c r="B49" s="4" t="s">
        <v>250</v>
      </c>
      <c r="C49" s="4" t="s">
        <v>251</v>
      </c>
      <c r="D49" s="4" t="s">
        <v>252</v>
      </c>
      <c r="E49" s="4" t="s">
        <v>253</v>
      </c>
    </row>
    <row r="50" spans="2:5" ht="12.75">
      <c r="B50" s="5" t="s">
        <v>213</v>
      </c>
      <c r="C50" s="5" t="s">
        <v>249</v>
      </c>
      <c r="D50" s="6" t="s">
        <v>259</v>
      </c>
      <c r="E50" s="6" t="s">
        <v>260</v>
      </c>
    </row>
    <row r="51" spans="2:5" ht="12.75">
      <c r="B51" s="5" t="s">
        <v>234</v>
      </c>
      <c r="C51" s="5" t="s">
        <v>249</v>
      </c>
      <c r="D51" s="6" t="s">
        <v>261</v>
      </c>
      <c r="E51" s="6" t="s">
        <v>262</v>
      </c>
    </row>
    <row r="52" spans="2:5" ht="12.75">
      <c r="B52" s="5" t="s">
        <v>216</v>
      </c>
      <c r="C52" s="5" t="s">
        <v>249</v>
      </c>
      <c r="D52" s="6" t="s">
        <v>263</v>
      </c>
      <c r="E52" s="6" t="s">
        <v>264</v>
      </c>
    </row>
    <row r="53" ht="12.75">
      <c r="B53" s="5" t="s">
        <v>26</v>
      </c>
    </row>
  </sheetData>
  <sheetProtection/>
  <mergeCells count="21">
    <mergeCell ref="A31:T31"/>
    <mergeCell ref="S3:S4"/>
    <mergeCell ref="T3:T4"/>
    <mergeCell ref="A5:T5"/>
    <mergeCell ref="A8:T8"/>
    <mergeCell ref="A12:T12"/>
    <mergeCell ref="B3:B4"/>
    <mergeCell ref="A15:T15"/>
    <mergeCell ref="A18:T18"/>
    <mergeCell ref="A21:T21"/>
    <mergeCell ref="A24:T24"/>
    <mergeCell ref="A27:T27"/>
    <mergeCell ref="A1:T2"/>
    <mergeCell ref="A3:A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F33" sqref="F33"/>
    </sheetView>
  </sheetViews>
  <sheetFormatPr defaultColWidth="9.125" defaultRowHeight="12.75"/>
  <cols>
    <col min="1" max="1" width="7.375" style="6" bestFit="1" customWidth="1"/>
    <col min="2" max="2" width="21.375" style="5" bestFit="1" customWidth="1"/>
    <col min="3" max="3" width="27.875" style="5" customWidth="1"/>
    <col min="4" max="4" width="13.375" style="5" customWidth="1"/>
    <col min="5" max="5" width="10.375" style="5" bestFit="1" customWidth="1"/>
    <col min="6" max="6" width="31.375" style="5" bestFit="1" customWidth="1"/>
    <col min="7" max="9" width="5.375" style="6" bestFit="1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7" width="5.375" style="6" bestFit="1" customWidth="1"/>
    <col min="18" max="18" width="4.875" style="6" bestFit="1" customWidth="1"/>
    <col min="19" max="19" width="7.875" style="6" bestFit="1" customWidth="1"/>
    <col min="20" max="20" width="8.375" style="6" bestFit="1" customWidth="1"/>
    <col min="21" max="16384" width="9.125" style="3" customWidth="1"/>
  </cols>
  <sheetData>
    <row r="1" spans="1:20" s="2" customFormat="1" ht="28.5" customHeight="1">
      <c r="A1" s="38" t="s">
        <v>265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10</v>
      </c>
      <c r="T3" s="47" t="s">
        <v>11</v>
      </c>
    </row>
    <row r="4" spans="1:20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37">
        <v>1</v>
      </c>
      <c r="P4" s="37">
        <v>2</v>
      </c>
      <c r="Q4" s="37">
        <v>3</v>
      </c>
      <c r="R4" s="37" t="s">
        <v>12</v>
      </c>
      <c r="S4" s="46"/>
      <c r="T4" s="46"/>
    </row>
    <row r="5" spans="1:20" ht="15">
      <c r="A5" s="54" t="s">
        <v>13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2.75">
      <c r="A6" s="10" t="s">
        <v>14</v>
      </c>
      <c r="B6" s="7" t="s">
        <v>205</v>
      </c>
      <c r="C6" s="7" t="s">
        <v>206</v>
      </c>
      <c r="D6" s="7" t="s">
        <v>207</v>
      </c>
      <c r="E6" s="7" t="str">
        <f>"1,2466"</f>
        <v>1,2466</v>
      </c>
      <c r="F6" s="7" t="s">
        <v>31</v>
      </c>
      <c r="G6" s="8" t="s">
        <v>25</v>
      </c>
      <c r="H6" s="9" t="s">
        <v>55</v>
      </c>
      <c r="I6" s="8" t="s">
        <v>80</v>
      </c>
      <c r="J6" s="10"/>
      <c r="K6" s="8" t="s">
        <v>35</v>
      </c>
      <c r="L6" s="8" t="s">
        <v>208</v>
      </c>
      <c r="M6" s="9" t="s">
        <v>36</v>
      </c>
      <c r="N6" s="10"/>
      <c r="O6" s="9" t="s">
        <v>33</v>
      </c>
      <c r="P6" s="8" t="s">
        <v>34</v>
      </c>
      <c r="Q6" s="8" t="s">
        <v>118</v>
      </c>
      <c r="R6" s="10"/>
      <c r="S6" s="10" t="str">
        <f>"315,0"</f>
        <v>315,0</v>
      </c>
      <c r="T6" s="10" t="str">
        <f>"392,6790"</f>
        <v>392,6790</v>
      </c>
    </row>
    <row r="7" ht="12.75">
      <c r="B7" s="5" t="s">
        <v>26</v>
      </c>
    </row>
    <row r="8" spans="1:20" ht="15">
      <c r="A8" s="48" t="s">
        <v>147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10" t="s">
        <v>14</v>
      </c>
      <c r="B9" s="7" t="s">
        <v>266</v>
      </c>
      <c r="C9" s="7" t="s">
        <v>267</v>
      </c>
      <c r="D9" s="7" t="s">
        <v>268</v>
      </c>
      <c r="E9" s="7" t="str">
        <f>"1,1816"</f>
        <v>1,1816</v>
      </c>
      <c r="F9" s="7" t="s">
        <v>151</v>
      </c>
      <c r="G9" s="8" t="s">
        <v>20</v>
      </c>
      <c r="H9" s="9" t="s">
        <v>24</v>
      </c>
      <c r="I9" s="9" t="s">
        <v>45</v>
      </c>
      <c r="J9" s="10"/>
      <c r="K9" s="9" t="s">
        <v>67</v>
      </c>
      <c r="L9" s="9" t="s">
        <v>67</v>
      </c>
      <c r="M9" s="8" t="s">
        <v>67</v>
      </c>
      <c r="N9" s="10"/>
      <c r="O9" s="8" t="s">
        <v>20</v>
      </c>
      <c r="P9" s="9" t="s">
        <v>44</v>
      </c>
      <c r="Q9" s="9" t="s">
        <v>44</v>
      </c>
      <c r="R9" s="10"/>
      <c r="S9" s="10" t="str">
        <f>"195,0"</f>
        <v>195,0</v>
      </c>
      <c r="T9" s="10" t="str">
        <f>"230,4120"</f>
        <v>230,4120</v>
      </c>
    </row>
    <row r="10" ht="12.75">
      <c r="B10" s="5" t="s">
        <v>26</v>
      </c>
    </row>
    <row r="11" spans="1:20" ht="15">
      <c r="A11" s="48" t="s">
        <v>51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2.75">
      <c r="A12" s="10" t="s">
        <v>14</v>
      </c>
      <c r="B12" s="7" t="s">
        <v>269</v>
      </c>
      <c r="C12" s="7" t="s">
        <v>270</v>
      </c>
      <c r="D12" s="7" t="s">
        <v>54</v>
      </c>
      <c r="E12" s="7" t="str">
        <f>"0,9506"</f>
        <v>0,9506</v>
      </c>
      <c r="F12" s="7" t="s">
        <v>31</v>
      </c>
      <c r="G12" s="9" t="s">
        <v>108</v>
      </c>
      <c r="H12" s="8" t="s">
        <v>129</v>
      </c>
      <c r="I12" s="9" t="s">
        <v>219</v>
      </c>
      <c r="J12" s="10"/>
      <c r="K12" s="8" t="s">
        <v>55</v>
      </c>
      <c r="L12" s="9" t="s">
        <v>271</v>
      </c>
      <c r="M12" s="9" t="s">
        <v>271</v>
      </c>
      <c r="N12" s="10"/>
      <c r="O12" s="8" t="s">
        <v>108</v>
      </c>
      <c r="P12" s="8" t="s">
        <v>129</v>
      </c>
      <c r="Q12" s="9" t="s">
        <v>130</v>
      </c>
      <c r="R12" s="10"/>
      <c r="S12" s="10" t="str">
        <f>"525,0"</f>
        <v>525,0</v>
      </c>
      <c r="T12" s="10" t="str">
        <f>"499,0650"</f>
        <v>499,0650</v>
      </c>
    </row>
    <row r="13" ht="12.75">
      <c r="B13" s="5" t="s">
        <v>26</v>
      </c>
    </row>
    <row r="14" spans="1:20" ht="15">
      <c r="A14" s="48" t="s">
        <v>155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2.75">
      <c r="A15" s="13" t="s">
        <v>14</v>
      </c>
      <c r="B15" s="11" t="s">
        <v>272</v>
      </c>
      <c r="C15" s="11" t="s">
        <v>273</v>
      </c>
      <c r="D15" s="11" t="s">
        <v>274</v>
      </c>
      <c r="E15" s="11" t="str">
        <f>"0,6704"</f>
        <v>0,6704</v>
      </c>
      <c r="F15" s="11" t="s">
        <v>275</v>
      </c>
      <c r="G15" s="12" t="s">
        <v>178</v>
      </c>
      <c r="H15" s="12" t="s">
        <v>276</v>
      </c>
      <c r="I15" s="12" t="s">
        <v>191</v>
      </c>
      <c r="J15" s="13"/>
      <c r="K15" s="12" t="s">
        <v>102</v>
      </c>
      <c r="L15" s="12" t="s">
        <v>104</v>
      </c>
      <c r="M15" s="12" t="s">
        <v>242</v>
      </c>
      <c r="N15" s="13"/>
      <c r="O15" s="12" t="s">
        <v>194</v>
      </c>
      <c r="P15" s="12" t="s">
        <v>277</v>
      </c>
      <c r="Q15" s="13"/>
      <c r="R15" s="13"/>
      <c r="S15" s="13" t="str">
        <f>"813,0"</f>
        <v>813,0</v>
      </c>
      <c r="T15" s="13" t="str">
        <f>"545,0352"</f>
        <v>545,0352</v>
      </c>
    </row>
    <row r="16" spans="1:20" ht="12.75">
      <c r="A16" s="17" t="s">
        <v>61</v>
      </c>
      <c r="B16" s="14" t="s">
        <v>278</v>
      </c>
      <c r="C16" s="14" t="s">
        <v>279</v>
      </c>
      <c r="D16" s="14" t="s">
        <v>280</v>
      </c>
      <c r="E16" s="14" t="str">
        <f>"0,6739"</f>
        <v>0,6739</v>
      </c>
      <c r="F16" s="14" t="s">
        <v>31</v>
      </c>
      <c r="G16" s="15" t="s">
        <v>143</v>
      </c>
      <c r="H16" s="16" t="s">
        <v>237</v>
      </c>
      <c r="I16" s="15" t="s">
        <v>237</v>
      </c>
      <c r="J16" s="17"/>
      <c r="K16" s="15" t="s">
        <v>47</v>
      </c>
      <c r="L16" s="15" t="s">
        <v>39</v>
      </c>
      <c r="M16" s="16" t="s">
        <v>49</v>
      </c>
      <c r="N16" s="17"/>
      <c r="O16" s="15" t="s">
        <v>175</v>
      </c>
      <c r="P16" s="15" t="s">
        <v>237</v>
      </c>
      <c r="Q16" s="15" t="s">
        <v>165</v>
      </c>
      <c r="R16" s="17"/>
      <c r="S16" s="17" t="str">
        <f>"662,5"</f>
        <v>662,5</v>
      </c>
      <c r="T16" s="17" t="str">
        <f>"446,4588"</f>
        <v>446,4588</v>
      </c>
    </row>
    <row r="17" spans="1:20" ht="12.75">
      <c r="A17" s="21" t="s">
        <v>243</v>
      </c>
      <c r="B17" s="18" t="s">
        <v>281</v>
      </c>
      <c r="C17" s="18" t="s">
        <v>282</v>
      </c>
      <c r="D17" s="18" t="s">
        <v>283</v>
      </c>
      <c r="E17" s="18" t="str">
        <f>"0,6832"</f>
        <v>0,6832</v>
      </c>
      <c r="F17" s="18" t="s">
        <v>164</v>
      </c>
      <c r="G17" s="19" t="s">
        <v>129</v>
      </c>
      <c r="H17" s="19" t="s">
        <v>130</v>
      </c>
      <c r="I17" s="20" t="s">
        <v>142</v>
      </c>
      <c r="J17" s="21"/>
      <c r="K17" s="19" t="s">
        <v>47</v>
      </c>
      <c r="L17" s="19" t="s">
        <v>49</v>
      </c>
      <c r="M17" s="19" t="s">
        <v>120</v>
      </c>
      <c r="N17" s="21"/>
      <c r="O17" s="19" t="s">
        <v>95</v>
      </c>
      <c r="P17" s="19" t="s">
        <v>142</v>
      </c>
      <c r="Q17" s="20" t="s">
        <v>176</v>
      </c>
      <c r="R17" s="21"/>
      <c r="S17" s="21" t="str">
        <f>"607,5"</f>
        <v>607,5</v>
      </c>
      <c r="T17" s="21" t="str">
        <f>"415,0440"</f>
        <v>415,0440</v>
      </c>
    </row>
    <row r="18" ht="12.75">
      <c r="B18" s="5" t="s">
        <v>26</v>
      </c>
    </row>
    <row r="19" spans="1:20" ht="15">
      <c r="A19" s="48" t="s">
        <v>89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2.75">
      <c r="A20" s="10" t="s">
        <v>14</v>
      </c>
      <c r="B20" s="7" t="s">
        <v>284</v>
      </c>
      <c r="C20" s="7" t="s">
        <v>285</v>
      </c>
      <c r="D20" s="7" t="s">
        <v>286</v>
      </c>
      <c r="E20" s="7" t="str">
        <f>"0,6651"</f>
        <v>0,6651</v>
      </c>
      <c r="F20" s="7" t="s">
        <v>159</v>
      </c>
      <c r="G20" s="8" t="s">
        <v>38</v>
      </c>
      <c r="H20" s="9" t="s">
        <v>50</v>
      </c>
      <c r="I20" s="9" t="s">
        <v>86</v>
      </c>
      <c r="J20" s="10"/>
      <c r="K20" s="8" t="s">
        <v>80</v>
      </c>
      <c r="L20" s="8" t="s">
        <v>32</v>
      </c>
      <c r="M20" s="9" t="s">
        <v>34</v>
      </c>
      <c r="N20" s="10"/>
      <c r="O20" s="8" t="s">
        <v>80</v>
      </c>
      <c r="P20" s="8" t="s">
        <v>33</v>
      </c>
      <c r="Q20" s="8" t="s">
        <v>60</v>
      </c>
      <c r="R20" s="10"/>
      <c r="S20" s="10" t="str">
        <f>"392,5"</f>
        <v>392,5</v>
      </c>
      <c r="T20" s="10" t="str">
        <f>"261,0517"</f>
        <v>261,0517</v>
      </c>
    </row>
    <row r="21" ht="12.75">
      <c r="B21" s="5" t="s">
        <v>26</v>
      </c>
    </row>
    <row r="22" spans="1:20" ht="15">
      <c r="A22" s="48" t="s">
        <v>109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2.75">
      <c r="A23" s="13" t="s">
        <v>14</v>
      </c>
      <c r="B23" s="11" t="s">
        <v>287</v>
      </c>
      <c r="C23" s="11" t="s">
        <v>288</v>
      </c>
      <c r="D23" s="11" t="s">
        <v>289</v>
      </c>
      <c r="E23" s="11" t="str">
        <f>"0,6116"</f>
        <v>0,6116</v>
      </c>
      <c r="F23" s="11" t="s">
        <v>31</v>
      </c>
      <c r="G23" s="12" t="s">
        <v>168</v>
      </c>
      <c r="H23" s="12" t="s">
        <v>290</v>
      </c>
      <c r="I23" s="22" t="s">
        <v>291</v>
      </c>
      <c r="J23" s="13"/>
      <c r="K23" s="12" t="s">
        <v>86</v>
      </c>
      <c r="L23" s="12" t="s">
        <v>87</v>
      </c>
      <c r="M23" s="13"/>
      <c r="N23" s="13"/>
      <c r="O23" s="22" t="s">
        <v>168</v>
      </c>
      <c r="P23" s="12" t="s">
        <v>168</v>
      </c>
      <c r="Q23" s="12" t="s">
        <v>292</v>
      </c>
      <c r="R23" s="13"/>
      <c r="S23" s="13" t="str">
        <f>"860,0"</f>
        <v>860,0</v>
      </c>
      <c r="T23" s="13" t="str">
        <f>"525,9760"</f>
        <v>525,9760</v>
      </c>
    </row>
    <row r="24" spans="1:20" ht="12.75">
      <c r="A24" s="17" t="s">
        <v>61</v>
      </c>
      <c r="B24" s="14" t="s">
        <v>293</v>
      </c>
      <c r="C24" s="14" t="s">
        <v>294</v>
      </c>
      <c r="D24" s="14" t="s">
        <v>295</v>
      </c>
      <c r="E24" s="14" t="str">
        <f>"0,6147"</f>
        <v>0,6147</v>
      </c>
      <c r="F24" s="14" t="s">
        <v>151</v>
      </c>
      <c r="G24" s="15" t="s">
        <v>131</v>
      </c>
      <c r="H24" s="16" t="s">
        <v>132</v>
      </c>
      <c r="I24" s="15" t="s">
        <v>238</v>
      </c>
      <c r="J24" s="17"/>
      <c r="K24" s="15" t="s">
        <v>38</v>
      </c>
      <c r="L24" s="15" t="s">
        <v>100</v>
      </c>
      <c r="M24" s="15" t="s">
        <v>101</v>
      </c>
      <c r="N24" s="17"/>
      <c r="O24" s="16" t="s">
        <v>131</v>
      </c>
      <c r="P24" s="16" t="s">
        <v>133</v>
      </c>
      <c r="Q24" s="15" t="s">
        <v>133</v>
      </c>
      <c r="R24" s="17"/>
      <c r="S24" s="17" t="str">
        <f>"697,5"</f>
        <v>697,5</v>
      </c>
      <c r="T24" s="17" t="str">
        <f>"428,7533"</f>
        <v>428,7533</v>
      </c>
    </row>
    <row r="25" spans="1:20" ht="12.75">
      <c r="A25" s="21" t="s">
        <v>243</v>
      </c>
      <c r="B25" s="18" t="s">
        <v>296</v>
      </c>
      <c r="C25" s="18" t="s">
        <v>297</v>
      </c>
      <c r="D25" s="18" t="s">
        <v>298</v>
      </c>
      <c r="E25" s="18" t="str">
        <f>"0,6177"</f>
        <v>0,6177</v>
      </c>
      <c r="F25" s="18" t="s">
        <v>31</v>
      </c>
      <c r="G25" s="19" t="s">
        <v>132</v>
      </c>
      <c r="H25" s="19" t="s">
        <v>178</v>
      </c>
      <c r="I25" s="20" t="s">
        <v>167</v>
      </c>
      <c r="J25" s="21"/>
      <c r="K25" s="19" t="s">
        <v>49</v>
      </c>
      <c r="L25" s="19" t="s">
        <v>100</v>
      </c>
      <c r="M25" s="20" t="s">
        <v>50</v>
      </c>
      <c r="N25" s="21"/>
      <c r="O25" s="19" t="s">
        <v>131</v>
      </c>
      <c r="P25" s="19" t="s">
        <v>237</v>
      </c>
      <c r="Q25" s="20" t="s">
        <v>132</v>
      </c>
      <c r="R25" s="21"/>
      <c r="S25" s="21" t="str">
        <f>"690,0"</f>
        <v>690,0</v>
      </c>
      <c r="T25" s="21" t="str">
        <f>"426,2130"</f>
        <v>426,2130</v>
      </c>
    </row>
    <row r="26" ht="12.75">
      <c r="B26" s="5" t="s">
        <v>26</v>
      </c>
    </row>
    <row r="27" spans="1:20" ht="15">
      <c r="A27" s="48" t="s">
        <v>138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2.75">
      <c r="A28" s="10" t="s">
        <v>14</v>
      </c>
      <c r="B28" s="7" t="s">
        <v>299</v>
      </c>
      <c r="C28" s="7" t="s">
        <v>300</v>
      </c>
      <c r="D28" s="7" t="s">
        <v>301</v>
      </c>
      <c r="E28" s="7" t="str">
        <f>"0,5600"</f>
        <v>0,5600</v>
      </c>
      <c r="F28" s="7" t="s">
        <v>159</v>
      </c>
      <c r="G28" s="8" t="s">
        <v>131</v>
      </c>
      <c r="H28" s="8" t="s">
        <v>144</v>
      </c>
      <c r="I28" s="9" t="s">
        <v>167</v>
      </c>
      <c r="J28" s="10"/>
      <c r="K28" s="8" t="s">
        <v>47</v>
      </c>
      <c r="L28" s="8" t="s">
        <v>40</v>
      </c>
      <c r="M28" s="8" t="s">
        <v>120</v>
      </c>
      <c r="N28" s="10"/>
      <c r="O28" s="8" t="s">
        <v>142</v>
      </c>
      <c r="P28" s="8" t="s">
        <v>143</v>
      </c>
      <c r="Q28" s="9" t="s">
        <v>131</v>
      </c>
      <c r="R28" s="10"/>
      <c r="S28" s="10" t="str">
        <f>"672,5"</f>
        <v>672,5</v>
      </c>
      <c r="T28" s="10" t="str">
        <f>"376,6000"</f>
        <v>376,6000</v>
      </c>
    </row>
    <row r="29" ht="12.75">
      <c r="B29" s="5" t="s">
        <v>26</v>
      </c>
    </row>
    <row r="30" ht="12.75">
      <c r="B30" s="5" t="s">
        <v>26</v>
      </c>
    </row>
    <row r="31" ht="12.75">
      <c r="B31" s="5" t="s">
        <v>26</v>
      </c>
    </row>
    <row r="32" spans="2:3" ht="18">
      <c r="B32" s="23" t="s">
        <v>247</v>
      </c>
      <c r="C32" s="23"/>
    </row>
    <row r="33" spans="2:3" ht="15">
      <c r="B33" s="36" t="s">
        <v>258</v>
      </c>
      <c r="C33" s="36"/>
    </row>
    <row r="34" spans="2:5" ht="15">
      <c r="B34" s="4" t="s">
        <v>250</v>
      </c>
      <c r="C34" s="4" t="s">
        <v>251</v>
      </c>
      <c r="D34" s="4" t="s">
        <v>252</v>
      </c>
      <c r="E34" s="4" t="s">
        <v>253</v>
      </c>
    </row>
    <row r="35" spans="2:5" ht="12.75">
      <c r="B35" s="5" t="s">
        <v>272</v>
      </c>
      <c r="C35" s="5" t="s">
        <v>249</v>
      </c>
      <c r="D35" s="6" t="s">
        <v>263</v>
      </c>
      <c r="E35" s="6" t="s">
        <v>302</v>
      </c>
    </row>
    <row r="36" spans="2:5" ht="12.75">
      <c r="B36" s="5" t="s">
        <v>287</v>
      </c>
      <c r="C36" s="5" t="s">
        <v>249</v>
      </c>
      <c r="D36" s="6" t="s">
        <v>303</v>
      </c>
      <c r="E36" s="6" t="s">
        <v>304</v>
      </c>
    </row>
    <row r="37" spans="2:5" ht="12.75">
      <c r="B37" s="5" t="s">
        <v>278</v>
      </c>
      <c r="C37" s="5" t="s">
        <v>249</v>
      </c>
      <c r="D37" s="6" t="s">
        <v>263</v>
      </c>
      <c r="E37" s="6" t="s">
        <v>305</v>
      </c>
    </row>
    <row r="38" ht="12.75">
      <c r="B38" s="5" t="s">
        <v>26</v>
      </c>
    </row>
  </sheetData>
  <sheetProtection/>
  <mergeCells count="19">
    <mergeCell ref="A22:T22"/>
    <mergeCell ref="A27:T27"/>
    <mergeCell ref="B3:B4"/>
    <mergeCell ref="A5:T5"/>
    <mergeCell ref="A8:T8"/>
    <mergeCell ref="A11:T11"/>
    <mergeCell ref="A14:T14"/>
    <mergeCell ref="A19:T19"/>
    <mergeCell ref="E3:E4"/>
    <mergeCell ref="S3:S4"/>
    <mergeCell ref="T3:T4"/>
    <mergeCell ref="A1:T2"/>
    <mergeCell ref="G3:J3"/>
    <mergeCell ref="K3:N3"/>
    <mergeCell ref="O3:R3"/>
    <mergeCell ref="A3:A4"/>
    <mergeCell ref="C3:C4"/>
    <mergeCell ref="D3:D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1"/>
  <headerFooter alignWithMargins="0">
    <oddFooter>&amp;L&amp;G&amp;R&amp;D&amp;T&amp;P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7.375" style="6" bestFit="1" customWidth="1"/>
    <col min="2" max="2" width="20.375" style="5" customWidth="1"/>
    <col min="3" max="3" width="27.375" style="5" bestFit="1" customWidth="1"/>
    <col min="4" max="4" width="13.875" style="5" customWidth="1"/>
    <col min="5" max="5" width="10.375" style="5" bestFit="1" customWidth="1"/>
    <col min="6" max="6" width="30.75390625" style="5" bestFit="1" customWidth="1"/>
    <col min="7" max="9" width="5.375" style="6" bestFit="1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7" width="5.375" style="6" bestFit="1" customWidth="1"/>
    <col min="18" max="18" width="4.875" style="6" bestFit="1" customWidth="1"/>
    <col min="19" max="19" width="7.875" style="6" bestFit="1" customWidth="1"/>
    <col min="20" max="20" width="8.375" style="6" bestFit="1" customWidth="1"/>
    <col min="21" max="16384" width="9.125" style="3" customWidth="1"/>
  </cols>
  <sheetData>
    <row r="1" spans="1:20" s="2" customFormat="1" ht="28.5" customHeight="1">
      <c r="A1" s="38" t="s">
        <v>306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10</v>
      </c>
      <c r="T3" s="47" t="s">
        <v>11</v>
      </c>
    </row>
    <row r="4" spans="1:20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37">
        <v>1</v>
      </c>
      <c r="P4" s="37">
        <v>2</v>
      </c>
      <c r="Q4" s="37">
        <v>3</v>
      </c>
      <c r="R4" s="37" t="s">
        <v>12</v>
      </c>
      <c r="S4" s="46"/>
      <c r="T4" s="46"/>
    </row>
    <row r="5" spans="1:20" ht="15">
      <c r="A5" s="54" t="s">
        <v>51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2.75">
      <c r="A6" s="10" t="s">
        <v>14</v>
      </c>
      <c r="B6" s="7" t="s">
        <v>307</v>
      </c>
      <c r="C6" s="7" t="s">
        <v>308</v>
      </c>
      <c r="D6" s="7" t="s">
        <v>309</v>
      </c>
      <c r="E6" s="7" t="str">
        <f>"0,7186"</f>
        <v>0,7186</v>
      </c>
      <c r="F6" s="7" t="s">
        <v>310</v>
      </c>
      <c r="G6" s="8" t="s">
        <v>130</v>
      </c>
      <c r="H6" s="9" t="s">
        <v>137</v>
      </c>
      <c r="I6" s="8" t="s">
        <v>175</v>
      </c>
      <c r="J6" s="10"/>
      <c r="K6" s="8" t="s">
        <v>34</v>
      </c>
      <c r="L6" s="8" t="s">
        <v>39</v>
      </c>
      <c r="M6" s="10"/>
      <c r="N6" s="10"/>
      <c r="O6" s="8" t="s">
        <v>95</v>
      </c>
      <c r="P6" s="8" t="s">
        <v>142</v>
      </c>
      <c r="Q6" s="8" t="s">
        <v>137</v>
      </c>
      <c r="R6" s="10"/>
      <c r="S6" s="10" t="str">
        <f>"625,0"</f>
        <v>625,0</v>
      </c>
      <c r="T6" s="10" t="str">
        <f>"449,1250"</f>
        <v>449,1250</v>
      </c>
    </row>
    <row r="7" ht="12.75">
      <c r="B7" s="5" t="s">
        <v>26</v>
      </c>
    </row>
    <row r="8" spans="1:20" ht="15">
      <c r="A8" s="48" t="s">
        <v>109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10" t="s">
        <v>14</v>
      </c>
      <c r="B9" s="7" t="s">
        <v>311</v>
      </c>
      <c r="C9" s="7" t="s">
        <v>312</v>
      </c>
      <c r="D9" s="7" t="s">
        <v>185</v>
      </c>
      <c r="E9" s="7" t="str">
        <f>"0,6174"</f>
        <v>0,6174</v>
      </c>
      <c r="F9" s="7" t="s">
        <v>31</v>
      </c>
      <c r="G9" s="8" t="s">
        <v>142</v>
      </c>
      <c r="H9" s="8" t="s">
        <v>175</v>
      </c>
      <c r="I9" s="8" t="s">
        <v>132</v>
      </c>
      <c r="J9" s="10"/>
      <c r="K9" s="9" t="s">
        <v>50</v>
      </c>
      <c r="L9" s="8" t="s">
        <v>50</v>
      </c>
      <c r="M9" s="8" t="s">
        <v>102</v>
      </c>
      <c r="N9" s="10"/>
      <c r="O9" s="8" t="s">
        <v>132</v>
      </c>
      <c r="P9" s="8" t="s">
        <v>133</v>
      </c>
      <c r="Q9" s="9" t="s">
        <v>178</v>
      </c>
      <c r="R9" s="10"/>
      <c r="S9" s="10" t="str">
        <f>"700,0"</f>
        <v>700,0</v>
      </c>
      <c r="T9" s="10" t="str">
        <f>"458,1108"</f>
        <v>458,1108</v>
      </c>
    </row>
    <row r="10" ht="12.75">
      <c r="B10" s="5" t="s">
        <v>26</v>
      </c>
    </row>
  </sheetData>
  <sheetProtection/>
  <mergeCells count="14">
    <mergeCell ref="A5:T5"/>
    <mergeCell ref="A8:T8"/>
    <mergeCell ref="B3:B4"/>
    <mergeCell ref="A1:T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C1">
      <selection activeCell="L13" sqref="L13"/>
    </sheetView>
  </sheetViews>
  <sheetFormatPr defaultColWidth="9.125" defaultRowHeight="12.75"/>
  <cols>
    <col min="1" max="1" width="7.375" style="5" bestFit="1" customWidth="1"/>
    <col min="2" max="2" width="18.375" style="5" bestFit="1" customWidth="1"/>
    <col min="3" max="3" width="26.25390625" style="5" bestFit="1" customWidth="1"/>
    <col min="4" max="4" width="12.625" style="5" customWidth="1"/>
    <col min="5" max="5" width="10.375" style="5" bestFit="1" customWidth="1"/>
    <col min="6" max="6" width="28.375" style="5" bestFit="1" customWidth="1"/>
    <col min="7" max="9" width="5.375" style="6" bestFit="1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7" width="5.375" style="6" bestFit="1" customWidth="1"/>
    <col min="18" max="18" width="4.875" style="6" bestFit="1" customWidth="1"/>
    <col min="19" max="19" width="7.875" style="6" bestFit="1" customWidth="1"/>
    <col min="20" max="20" width="8.375" style="6" bestFit="1" customWidth="1"/>
    <col min="21" max="16384" width="9.125" style="3" customWidth="1"/>
  </cols>
  <sheetData>
    <row r="1" spans="1:20" s="2" customFormat="1" ht="28.5" customHeight="1">
      <c r="A1" s="38" t="s">
        <v>313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10</v>
      </c>
      <c r="T3" s="47" t="s">
        <v>11</v>
      </c>
    </row>
    <row r="4" spans="1:20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37">
        <v>1</v>
      </c>
      <c r="P4" s="37">
        <v>2</v>
      </c>
      <c r="Q4" s="37">
        <v>3</v>
      </c>
      <c r="R4" s="37" t="s">
        <v>12</v>
      </c>
      <c r="S4" s="46"/>
      <c r="T4" s="46"/>
    </row>
    <row r="5" spans="1:20" ht="15">
      <c r="A5" s="54" t="s">
        <v>155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2.75">
      <c r="A6" s="10" t="s">
        <v>14</v>
      </c>
      <c r="B6" s="7" t="s">
        <v>314</v>
      </c>
      <c r="C6" s="7" t="s">
        <v>315</v>
      </c>
      <c r="D6" s="7" t="s">
        <v>316</v>
      </c>
      <c r="E6" s="7" t="str">
        <f>"0,6816"</f>
        <v>0,6816</v>
      </c>
      <c r="F6" s="7" t="s">
        <v>317</v>
      </c>
      <c r="G6" s="8" t="s">
        <v>238</v>
      </c>
      <c r="H6" s="8" t="s">
        <v>190</v>
      </c>
      <c r="I6" s="8" t="s">
        <v>167</v>
      </c>
      <c r="J6" s="10"/>
      <c r="K6" s="8" t="s">
        <v>318</v>
      </c>
      <c r="L6" s="8" t="s">
        <v>124</v>
      </c>
      <c r="M6" s="9" t="s">
        <v>108</v>
      </c>
      <c r="N6" s="10"/>
      <c r="O6" s="8" t="s">
        <v>131</v>
      </c>
      <c r="P6" s="8" t="s">
        <v>238</v>
      </c>
      <c r="Q6" s="8" t="s">
        <v>319</v>
      </c>
      <c r="R6" s="10"/>
      <c r="S6" s="10" t="str">
        <f>"767,5"</f>
        <v>767,5</v>
      </c>
      <c r="T6" s="10" t="str">
        <f>"523,1280"</f>
        <v>523,1280</v>
      </c>
    </row>
    <row r="7" ht="12.75">
      <c r="B7" s="5" t="s">
        <v>26</v>
      </c>
    </row>
  </sheetData>
  <sheetProtection/>
  <mergeCells count="13">
    <mergeCell ref="A5:T5"/>
    <mergeCell ref="B3:B4"/>
    <mergeCell ref="A1:T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V12" sqref="V12"/>
    </sheetView>
  </sheetViews>
  <sheetFormatPr defaultColWidth="9.125" defaultRowHeight="12.75"/>
  <cols>
    <col min="1" max="1" width="7.375" style="5" bestFit="1" customWidth="1"/>
    <col min="2" max="2" width="19.75390625" style="5" customWidth="1"/>
    <col min="3" max="3" width="26.25390625" style="5" bestFit="1" customWidth="1"/>
    <col min="4" max="4" width="11.75390625" style="5" customWidth="1"/>
    <col min="5" max="5" width="10.375" style="5" bestFit="1" customWidth="1"/>
    <col min="6" max="6" width="31.25390625" style="5" bestFit="1" customWidth="1"/>
    <col min="7" max="8" width="5.375" style="6" bestFit="1" customWidth="1"/>
    <col min="9" max="9" width="4.875" style="6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6" width="5.375" style="6" bestFit="1" customWidth="1"/>
    <col min="17" max="17" width="4.75390625" style="6" customWidth="1"/>
    <col min="18" max="18" width="4.875" style="6" bestFit="1" customWidth="1"/>
    <col min="19" max="19" width="7.875" style="6" bestFit="1" customWidth="1"/>
    <col min="20" max="20" width="8.375" style="6" bestFit="1" customWidth="1"/>
    <col min="21" max="16384" width="9.125" style="3" customWidth="1"/>
  </cols>
  <sheetData>
    <row r="1" spans="1:20" s="2" customFormat="1" ht="28.5" customHeight="1">
      <c r="A1" s="38" t="s">
        <v>320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10</v>
      </c>
      <c r="T3" s="47" t="s">
        <v>11</v>
      </c>
    </row>
    <row r="4" spans="1:20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37">
        <v>1</v>
      </c>
      <c r="P4" s="37">
        <v>2</v>
      </c>
      <c r="Q4" s="37">
        <v>3</v>
      </c>
      <c r="R4" s="37" t="s">
        <v>12</v>
      </c>
      <c r="S4" s="46"/>
      <c r="T4" s="46"/>
    </row>
    <row r="5" spans="1:20" ht="15">
      <c r="A5" s="54" t="s">
        <v>125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2.75">
      <c r="A6" s="10" t="s">
        <v>14</v>
      </c>
      <c r="B6" s="7" t="s">
        <v>321</v>
      </c>
      <c r="C6" s="7" t="s">
        <v>322</v>
      </c>
      <c r="D6" s="7" t="s">
        <v>323</v>
      </c>
      <c r="E6" s="7" t="str">
        <f>"0,5954"</f>
        <v>0,5954</v>
      </c>
      <c r="F6" s="7" t="s">
        <v>159</v>
      </c>
      <c r="G6" s="8" t="s">
        <v>194</v>
      </c>
      <c r="H6" s="8" t="s">
        <v>290</v>
      </c>
      <c r="I6" s="10"/>
      <c r="J6" s="10"/>
      <c r="K6" s="8" t="s">
        <v>143</v>
      </c>
      <c r="L6" s="8" t="s">
        <v>131</v>
      </c>
      <c r="M6" s="9" t="s">
        <v>132</v>
      </c>
      <c r="N6" s="10"/>
      <c r="O6" s="8" t="s">
        <v>137</v>
      </c>
      <c r="P6" s="8" t="s">
        <v>131</v>
      </c>
      <c r="Q6" s="10"/>
      <c r="R6" s="10"/>
      <c r="S6" s="10" t="str">
        <f>"835,0"</f>
        <v>835,0</v>
      </c>
      <c r="T6" s="10" t="str">
        <f>"497,1590"</f>
        <v>497,1590</v>
      </c>
    </row>
    <row r="7" ht="12.75">
      <c r="B7" s="5" t="s">
        <v>26</v>
      </c>
    </row>
  </sheetData>
  <sheetProtection/>
  <mergeCells count="13">
    <mergeCell ref="A5:T5"/>
    <mergeCell ref="B3:B4"/>
    <mergeCell ref="A1:T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7.375" style="6" bestFit="1" customWidth="1"/>
    <col min="2" max="2" width="27.75390625" style="5" customWidth="1"/>
    <col min="3" max="3" width="27.875" style="5" customWidth="1"/>
    <col min="4" max="4" width="9.25390625" style="5" customWidth="1"/>
    <col min="5" max="5" width="10.375" style="5" bestFit="1" customWidth="1"/>
    <col min="6" max="6" width="31.00390625" style="5" bestFit="1" customWidth="1"/>
    <col min="7" max="9" width="5.375" style="6" bestFit="1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5" width="7.875" style="6" bestFit="1" customWidth="1"/>
    <col min="16" max="16" width="8.375" style="6" bestFit="1" customWidth="1"/>
    <col min="17" max="16384" width="9.125" style="3" customWidth="1"/>
  </cols>
  <sheetData>
    <row r="1" spans="1:16" s="2" customFormat="1" ht="28.5" customHeight="1">
      <c r="A1" s="38" t="s">
        <v>324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8</v>
      </c>
      <c r="H3" s="47"/>
      <c r="I3" s="47"/>
      <c r="J3" s="47"/>
      <c r="K3" s="47" t="s">
        <v>9</v>
      </c>
      <c r="L3" s="47"/>
      <c r="M3" s="47"/>
      <c r="N3" s="47"/>
      <c r="O3" s="47" t="s">
        <v>10</v>
      </c>
      <c r="P3" s="47" t="s">
        <v>11</v>
      </c>
    </row>
    <row r="4" spans="1:16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46"/>
      <c r="P4" s="46"/>
    </row>
    <row r="5" spans="1:16" ht="15">
      <c r="A5" s="54" t="s">
        <v>13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13" t="s">
        <v>14</v>
      </c>
      <c r="B6" s="11" t="s">
        <v>205</v>
      </c>
      <c r="C6" s="11" t="s">
        <v>206</v>
      </c>
      <c r="D6" s="11" t="s">
        <v>207</v>
      </c>
      <c r="E6" s="11" t="str">
        <f>"1,2466"</f>
        <v>1,2466</v>
      </c>
      <c r="F6" s="11" t="s">
        <v>31</v>
      </c>
      <c r="G6" s="12" t="s">
        <v>35</v>
      </c>
      <c r="H6" s="12" t="s">
        <v>208</v>
      </c>
      <c r="I6" s="22" t="s">
        <v>36</v>
      </c>
      <c r="J6" s="13"/>
      <c r="K6" s="22" t="s">
        <v>33</v>
      </c>
      <c r="L6" s="12" t="s">
        <v>34</v>
      </c>
      <c r="M6" s="12" t="s">
        <v>118</v>
      </c>
      <c r="N6" s="13"/>
      <c r="O6" s="13" t="str">
        <f>"205,0"</f>
        <v>205,0</v>
      </c>
      <c r="P6" s="13" t="str">
        <f>"255,5530"</f>
        <v>255,5530</v>
      </c>
    </row>
    <row r="7" spans="1:16" ht="12.75">
      <c r="A7" s="17" t="s">
        <v>14</v>
      </c>
      <c r="B7" s="14" t="s">
        <v>205</v>
      </c>
      <c r="C7" s="14" t="s">
        <v>209</v>
      </c>
      <c r="D7" s="14" t="s">
        <v>207</v>
      </c>
      <c r="E7" s="14" t="str">
        <f>"1,2466"</f>
        <v>1,2466</v>
      </c>
      <c r="F7" s="14" t="s">
        <v>31</v>
      </c>
      <c r="G7" s="15" t="s">
        <v>35</v>
      </c>
      <c r="H7" s="15" t="s">
        <v>208</v>
      </c>
      <c r="I7" s="16" t="s">
        <v>36</v>
      </c>
      <c r="J7" s="17"/>
      <c r="K7" s="16" t="s">
        <v>33</v>
      </c>
      <c r="L7" s="15" t="s">
        <v>34</v>
      </c>
      <c r="M7" s="15" t="s">
        <v>118</v>
      </c>
      <c r="N7" s="17"/>
      <c r="O7" s="17" t="str">
        <f>"205,0"</f>
        <v>205,0</v>
      </c>
      <c r="P7" s="17" t="str">
        <f>"255,5530"</f>
        <v>255,5530</v>
      </c>
    </row>
    <row r="8" spans="1:16" ht="12.75">
      <c r="A8" s="21" t="s">
        <v>61</v>
      </c>
      <c r="B8" s="18" t="s">
        <v>325</v>
      </c>
      <c r="C8" s="18" t="s">
        <v>326</v>
      </c>
      <c r="D8" s="18" t="s">
        <v>327</v>
      </c>
      <c r="E8" s="18" t="str">
        <f>"1,2560"</f>
        <v>1,2560</v>
      </c>
      <c r="F8" s="18" t="s">
        <v>151</v>
      </c>
      <c r="G8" s="19" t="s">
        <v>21</v>
      </c>
      <c r="H8" s="20" t="s">
        <v>153</v>
      </c>
      <c r="I8" s="20" t="s">
        <v>153</v>
      </c>
      <c r="J8" s="21"/>
      <c r="K8" s="19" t="s">
        <v>45</v>
      </c>
      <c r="L8" s="19" t="s">
        <v>271</v>
      </c>
      <c r="M8" s="20" t="s">
        <v>59</v>
      </c>
      <c r="N8" s="21"/>
      <c r="O8" s="21" t="str">
        <f>"157,5"</f>
        <v>157,5</v>
      </c>
      <c r="P8" s="21" t="str">
        <f>"197,8200"</f>
        <v>197,8200</v>
      </c>
    </row>
    <row r="9" ht="12.75">
      <c r="B9" s="5" t="s">
        <v>26</v>
      </c>
    </row>
    <row r="10" spans="1:16" ht="15">
      <c r="A10" s="48" t="s">
        <v>51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2.75">
      <c r="A11" s="10" t="s">
        <v>14</v>
      </c>
      <c r="B11" s="7" t="s">
        <v>328</v>
      </c>
      <c r="C11" s="7" t="s">
        <v>329</v>
      </c>
      <c r="D11" s="7" t="s">
        <v>330</v>
      </c>
      <c r="E11" s="7" t="str">
        <f>"0,9621"</f>
        <v>0,9621</v>
      </c>
      <c r="F11" s="7" t="s">
        <v>151</v>
      </c>
      <c r="G11" s="8" t="s">
        <v>56</v>
      </c>
      <c r="H11" s="8" t="s">
        <v>58</v>
      </c>
      <c r="I11" s="8" t="s">
        <v>331</v>
      </c>
      <c r="J11" s="10"/>
      <c r="K11" s="8" t="s">
        <v>34</v>
      </c>
      <c r="L11" s="8" t="s">
        <v>38</v>
      </c>
      <c r="M11" s="8" t="s">
        <v>40</v>
      </c>
      <c r="N11" s="10"/>
      <c r="O11" s="10" t="str">
        <f>"210,0"</f>
        <v>210,0</v>
      </c>
      <c r="P11" s="10" t="str">
        <f>"202,0410"</f>
        <v>202,0410</v>
      </c>
    </row>
    <row r="12" ht="12.75">
      <c r="B12" s="5" t="s">
        <v>26</v>
      </c>
    </row>
    <row r="13" spans="1:16" ht="15">
      <c r="A13" s="48" t="s">
        <v>51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2.75">
      <c r="A14" s="10" t="s">
        <v>14</v>
      </c>
      <c r="B14" s="7" t="s">
        <v>332</v>
      </c>
      <c r="C14" s="7" t="s">
        <v>333</v>
      </c>
      <c r="D14" s="7" t="s">
        <v>334</v>
      </c>
      <c r="E14" s="7" t="str">
        <f>"0,7264"</f>
        <v>0,7264</v>
      </c>
      <c r="F14" s="7" t="s">
        <v>335</v>
      </c>
      <c r="G14" s="8" t="s">
        <v>33</v>
      </c>
      <c r="H14" s="9" t="s">
        <v>34</v>
      </c>
      <c r="I14" s="9" t="s">
        <v>34</v>
      </c>
      <c r="J14" s="10"/>
      <c r="K14" s="8" t="s">
        <v>219</v>
      </c>
      <c r="L14" s="8" t="s">
        <v>220</v>
      </c>
      <c r="M14" s="9" t="s">
        <v>336</v>
      </c>
      <c r="N14" s="10"/>
      <c r="O14" s="10" t="str">
        <f>"357,5"</f>
        <v>357,5</v>
      </c>
      <c r="P14" s="10" t="str">
        <f>"259,6880"</f>
        <v>259,6880</v>
      </c>
    </row>
    <row r="15" ht="12.75">
      <c r="B15" s="5" t="s">
        <v>26</v>
      </c>
    </row>
    <row r="16" spans="1:16" ht="15">
      <c r="A16" s="48" t="s">
        <v>109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2.75">
      <c r="A17" s="13" t="s">
        <v>14</v>
      </c>
      <c r="B17" s="11" t="s">
        <v>337</v>
      </c>
      <c r="C17" s="11" t="s">
        <v>338</v>
      </c>
      <c r="D17" s="11" t="s">
        <v>339</v>
      </c>
      <c r="E17" s="11" t="str">
        <f>"0,6088"</f>
        <v>0,6088</v>
      </c>
      <c r="F17" s="11" t="s">
        <v>31</v>
      </c>
      <c r="G17" s="12" t="s">
        <v>49</v>
      </c>
      <c r="H17" s="12" t="s">
        <v>120</v>
      </c>
      <c r="I17" s="22" t="s">
        <v>101</v>
      </c>
      <c r="J17" s="13"/>
      <c r="K17" s="12" t="s">
        <v>130</v>
      </c>
      <c r="L17" s="12" t="s">
        <v>220</v>
      </c>
      <c r="M17" s="13"/>
      <c r="N17" s="13"/>
      <c r="O17" s="13" t="str">
        <f>"390,0"</f>
        <v>390,0</v>
      </c>
      <c r="P17" s="13" t="str">
        <f>"237,4320"</f>
        <v>237,4320</v>
      </c>
    </row>
    <row r="18" spans="1:16" ht="12.75">
      <c r="A18" s="21" t="s">
        <v>61</v>
      </c>
      <c r="B18" s="18" t="s">
        <v>225</v>
      </c>
      <c r="C18" s="18" t="s">
        <v>226</v>
      </c>
      <c r="D18" s="18" t="s">
        <v>227</v>
      </c>
      <c r="E18" s="18" t="str">
        <f>"0,6247"</f>
        <v>0,6247</v>
      </c>
      <c r="F18" s="18" t="s">
        <v>31</v>
      </c>
      <c r="G18" s="19" t="s">
        <v>32</v>
      </c>
      <c r="H18" s="19" t="s">
        <v>34</v>
      </c>
      <c r="I18" s="19" t="s">
        <v>47</v>
      </c>
      <c r="J18" s="21"/>
      <c r="K18" s="19" t="s">
        <v>108</v>
      </c>
      <c r="L18" s="19" t="s">
        <v>129</v>
      </c>
      <c r="M18" s="20" t="s">
        <v>228</v>
      </c>
      <c r="N18" s="21"/>
      <c r="O18" s="21" t="str">
        <f>"345,0"</f>
        <v>345,0</v>
      </c>
      <c r="P18" s="21" t="str">
        <f>"215,5215"</f>
        <v>215,5215</v>
      </c>
    </row>
    <row r="19" ht="12.75">
      <c r="B19" s="5" t="s">
        <v>26</v>
      </c>
    </row>
    <row r="20" ht="12.75">
      <c r="B20" s="5" t="s">
        <v>26</v>
      </c>
    </row>
    <row r="21" ht="12.75">
      <c r="B21" s="5" t="s">
        <v>26</v>
      </c>
    </row>
  </sheetData>
  <sheetProtection/>
  <mergeCells count="15">
    <mergeCell ref="A16:P16"/>
    <mergeCell ref="B3:B4"/>
    <mergeCell ref="O3:O4"/>
    <mergeCell ref="P3:P4"/>
    <mergeCell ref="A5:P5"/>
    <mergeCell ref="A10:P10"/>
    <mergeCell ref="A13:P13"/>
    <mergeCell ref="A1:P2"/>
    <mergeCell ref="A3:A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F17" sqref="F17"/>
    </sheetView>
  </sheetViews>
  <sheetFormatPr defaultColWidth="9.125" defaultRowHeight="12.75"/>
  <cols>
    <col min="1" max="1" width="7.375" style="6" bestFit="1" customWidth="1"/>
    <col min="2" max="2" width="21.125" style="5" bestFit="1" customWidth="1"/>
    <col min="3" max="3" width="27.875" style="5" customWidth="1"/>
    <col min="4" max="4" width="13.125" style="5" customWidth="1"/>
    <col min="5" max="5" width="10.375" style="5" bestFit="1" customWidth="1"/>
    <col min="6" max="6" width="31.25390625" style="5" bestFit="1" customWidth="1"/>
    <col min="7" max="9" width="5.375" style="6" bestFit="1" customWidth="1"/>
    <col min="10" max="10" width="4.875" style="6" bestFit="1" customWidth="1"/>
    <col min="11" max="13" width="5.375" style="6" bestFit="1" customWidth="1"/>
    <col min="14" max="14" width="4.875" style="6" bestFit="1" customWidth="1"/>
    <col min="15" max="15" width="7.875" style="6" bestFit="1" customWidth="1"/>
    <col min="16" max="16" width="8.375" style="6" bestFit="1" customWidth="1"/>
    <col min="17" max="16384" width="9.125" style="3" customWidth="1"/>
  </cols>
  <sheetData>
    <row r="1" spans="1:16" s="2" customFormat="1" ht="28.5" customHeight="1">
      <c r="A1" s="38" t="s">
        <v>340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12.75" customHeight="1">
      <c r="A3" s="43" t="s">
        <v>1</v>
      </c>
      <c r="B3" s="50" t="s">
        <v>2</v>
      </c>
      <c r="C3" s="45" t="s">
        <v>3</v>
      </c>
      <c r="D3" s="45" t="s">
        <v>4</v>
      </c>
      <c r="E3" s="47" t="s">
        <v>5</v>
      </c>
      <c r="F3" s="47" t="s">
        <v>6</v>
      </c>
      <c r="G3" s="47" t="s">
        <v>8</v>
      </c>
      <c r="H3" s="47"/>
      <c r="I3" s="47"/>
      <c r="J3" s="47"/>
      <c r="K3" s="47" t="s">
        <v>9</v>
      </c>
      <c r="L3" s="47"/>
      <c r="M3" s="47"/>
      <c r="N3" s="47"/>
      <c r="O3" s="47" t="s">
        <v>10</v>
      </c>
      <c r="P3" s="47" t="s">
        <v>11</v>
      </c>
    </row>
    <row r="4" spans="1:16" s="1" customFormat="1" ht="21" customHeight="1" thickBot="1">
      <c r="A4" s="44"/>
      <c r="B4" s="51"/>
      <c r="C4" s="46"/>
      <c r="D4" s="46"/>
      <c r="E4" s="46"/>
      <c r="F4" s="46"/>
      <c r="G4" s="37">
        <v>1</v>
      </c>
      <c r="H4" s="37">
        <v>2</v>
      </c>
      <c r="I4" s="37">
        <v>3</v>
      </c>
      <c r="J4" s="37" t="s">
        <v>12</v>
      </c>
      <c r="K4" s="37">
        <v>1</v>
      </c>
      <c r="L4" s="37">
        <v>2</v>
      </c>
      <c r="M4" s="37">
        <v>3</v>
      </c>
      <c r="N4" s="37" t="s">
        <v>12</v>
      </c>
      <c r="O4" s="46"/>
      <c r="P4" s="46"/>
    </row>
    <row r="5" spans="1:16" ht="15">
      <c r="A5" s="54" t="s">
        <v>13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10" t="s">
        <v>14</v>
      </c>
      <c r="B6" s="7" t="s">
        <v>205</v>
      </c>
      <c r="C6" s="7" t="s">
        <v>206</v>
      </c>
      <c r="D6" s="7" t="s">
        <v>207</v>
      </c>
      <c r="E6" s="7" t="str">
        <f>"1,2466"</f>
        <v>1,2466</v>
      </c>
      <c r="F6" s="7" t="s">
        <v>31</v>
      </c>
      <c r="G6" s="8" t="s">
        <v>35</v>
      </c>
      <c r="H6" s="8" t="s">
        <v>208</v>
      </c>
      <c r="I6" s="9" t="s">
        <v>36</v>
      </c>
      <c r="J6" s="10"/>
      <c r="K6" s="9" t="s">
        <v>33</v>
      </c>
      <c r="L6" s="8" t="s">
        <v>34</v>
      </c>
      <c r="M6" s="8" t="s">
        <v>118</v>
      </c>
      <c r="N6" s="10"/>
      <c r="O6" s="10" t="str">
        <f>"205,0"</f>
        <v>205,0</v>
      </c>
      <c r="P6" s="10" t="str">
        <f>"255,5530"</f>
        <v>255,5530</v>
      </c>
    </row>
    <row r="7" ht="12.75">
      <c r="B7" s="5" t="s">
        <v>26</v>
      </c>
    </row>
    <row r="8" spans="1:16" ht="15">
      <c r="A8" s="48" t="s">
        <v>51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2.75">
      <c r="A9" s="10" t="s">
        <v>14</v>
      </c>
      <c r="B9" s="7" t="s">
        <v>341</v>
      </c>
      <c r="C9" s="7" t="s">
        <v>342</v>
      </c>
      <c r="D9" s="7" t="s">
        <v>343</v>
      </c>
      <c r="E9" s="7" t="str">
        <f>"1,0090"</f>
        <v>1,0090</v>
      </c>
      <c r="F9" s="7" t="s">
        <v>159</v>
      </c>
      <c r="G9" s="8" t="s">
        <v>23</v>
      </c>
      <c r="H9" s="8" t="s">
        <v>24</v>
      </c>
      <c r="I9" s="9" t="s">
        <v>85</v>
      </c>
      <c r="J9" s="10"/>
      <c r="K9" s="8" t="s">
        <v>129</v>
      </c>
      <c r="L9" s="8" t="s">
        <v>228</v>
      </c>
      <c r="M9" s="9" t="s">
        <v>219</v>
      </c>
      <c r="N9" s="10"/>
      <c r="O9" s="10" t="str">
        <f>"310,0"</f>
        <v>310,0</v>
      </c>
      <c r="P9" s="10" t="str">
        <f>"312,7900"</f>
        <v>312,7900</v>
      </c>
    </row>
    <row r="10" ht="12.75">
      <c r="B10" s="5" t="s">
        <v>26</v>
      </c>
    </row>
    <row r="11" spans="1:16" ht="15">
      <c r="A11" s="48" t="s">
        <v>89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2.75">
      <c r="A12" s="10" t="s">
        <v>14</v>
      </c>
      <c r="B12" s="7" t="s">
        <v>344</v>
      </c>
      <c r="C12" s="7" t="s">
        <v>345</v>
      </c>
      <c r="D12" s="7" t="s">
        <v>346</v>
      </c>
      <c r="E12" s="7" t="str">
        <f>"0,6656"</f>
        <v>0,6656</v>
      </c>
      <c r="F12" s="7" t="s">
        <v>151</v>
      </c>
      <c r="G12" s="8" t="s">
        <v>47</v>
      </c>
      <c r="H12" s="8" t="s">
        <v>38</v>
      </c>
      <c r="I12" s="8" t="s">
        <v>39</v>
      </c>
      <c r="J12" s="10"/>
      <c r="K12" s="8" t="s">
        <v>108</v>
      </c>
      <c r="L12" s="8" t="s">
        <v>129</v>
      </c>
      <c r="M12" s="8" t="s">
        <v>95</v>
      </c>
      <c r="N12" s="10"/>
      <c r="O12" s="10" t="str">
        <f>"360,0"</f>
        <v>360,0</v>
      </c>
      <c r="P12" s="10" t="str">
        <f>"374,9990"</f>
        <v>374,9990</v>
      </c>
    </row>
    <row r="13" ht="12.75">
      <c r="B13" s="5" t="s">
        <v>26</v>
      </c>
    </row>
    <row r="14" spans="1:16" ht="15">
      <c r="A14" s="48" t="s">
        <v>109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2.75">
      <c r="A15" s="10" t="s">
        <v>14</v>
      </c>
      <c r="B15" s="7" t="s">
        <v>296</v>
      </c>
      <c r="C15" s="7" t="s">
        <v>297</v>
      </c>
      <c r="D15" s="7" t="s">
        <v>298</v>
      </c>
      <c r="E15" s="7" t="str">
        <f>"0,6177"</f>
        <v>0,6177</v>
      </c>
      <c r="F15" s="7" t="s">
        <v>31</v>
      </c>
      <c r="G15" s="8" t="s">
        <v>49</v>
      </c>
      <c r="H15" s="8" t="s">
        <v>100</v>
      </c>
      <c r="I15" s="9" t="s">
        <v>50</v>
      </c>
      <c r="J15" s="10"/>
      <c r="K15" s="8" t="s">
        <v>131</v>
      </c>
      <c r="L15" s="8" t="s">
        <v>237</v>
      </c>
      <c r="M15" s="9" t="s">
        <v>132</v>
      </c>
      <c r="N15" s="10"/>
      <c r="O15" s="10" t="str">
        <f>"410,0"</f>
        <v>410,0</v>
      </c>
      <c r="P15" s="10" t="str">
        <f>"253,2570"</f>
        <v>253,2570</v>
      </c>
    </row>
    <row r="16" ht="12.75">
      <c r="B16" s="5" t="s">
        <v>26</v>
      </c>
    </row>
  </sheetData>
  <sheetProtection/>
  <mergeCells count="15">
    <mergeCell ref="A14:P14"/>
    <mergeCell ref="B3:B4"/>
    <mergeCell ref="O3:O4"/>
    <mergeCell ref="P3:P4"/>
    <mergeCell ref="A5:P5"/>
    <mergeCell ref="A8:P8"/>
    <mergeCell ref="A11:P11"/>
    <mergeCell ref="A1:P2"/>
    <mergeCell ref="A3:A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2019-05-28T12:45:45Z</dcterms:modified>
  <cp:category/>
  <cp:version/>
  <cp:contentType/>
  <cp:contentStatus/>
</cp:coreProperties>
</file>